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PLANEACION 2023\PLANES DE ACCION 2023\CORVIVIENDA\DICIEMBRE 2023\"/>
    </mc:Choice>
  </mc:AlternateContent>
  <bookViews>
    <workbookView xWindow="0" yWindow="0" windowWidth="20490" windowHeight="6855"/>
  </bookViews>
  <sheets>
    <sheet name="PLAN DE ACCIÓN 2023" sheetId="1" r:id="rId1"/>
    <sheet name="Hoja1" sheetId="2" r:id="rId2"/>
  </sheets>
  <definedNames>
    <definedName name="_Hlk49970378" localSheetId="0">'PLAN DE ACCIÓN 2023'!$AG$14</definedName>
    <definedName name="_xlnm.Print_Area" localSheetId="0">'PLAN DE ACCIÓN 2023'!$A$1:$BB$23</definedName>
    <definedName name="_xlnm.Print_Titles" localSheetId="0">'PLAN DE ACCIÓN 2023'!$1:$5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23" i="1" l="1"/>
  <c r="AZ23" i="1"/>
  <c r="AY23" i="1"/>
  <c r="BA20" i="1"/>
  <c r="AZ20" i="1"/>
  <c r="AC23" i="1"/>
  <c r="Z23" i="1"/>
  <c r="Z19" i="1"/>
  <c r="BA15" i="1"/>
  <c r="AZ15" i="1"/>
  <c r="AY15" i="1"/>
  <c r="BA13" i="1"/>
  <c r="AZ13" i="1"/>
  <c r="AY13" i="1"/>
  <c r="BA10" i="1"/>
  <c r="AZ10" i="1"/>
  <c r="AY10" i="1"/>
  <c r="AP6" i="1" l="1"/>
  <c r="AK9" i="1" l="1"/>
  <c r="AL9" i="1" s="1"/>
  <c r="AK7" i="1"/>
  <c r="AL7" i="1" s="1"/>
  <c r="X6" i="1" l="1"/>
  <c r="J12" i="2"/>
  <c r="J13" i="2"/>
  <c r="J11" i="2"/>
  <c r="I12" i="2"/>
  <c r="I13" i="2"/>
  <c r="I11" i="2"/>
  <c r="I10" i="2"/>
  <c r="J10" i="2"/>
  <c r="J9" i="2"/>
  <c r="J8" i="2"/>
  <c r="J7" i="2"/>
  <c r="J6" i="2"/>
  <c r="J5" i="2"/>
  <c r="I9" i="2"/>
  <c r="I7" i="2"/>
  <c r="I6" i="2"/>
  <c r="I5" i="2"/>
  <c r="AU22" i="1" l="1"/>
  <c r="AU11" i="1"/>
  <c r="AU6" i="1"/>
  <c r="X22" i="1"/>
  <c r="X20" i="1"/>
  <c r="X14" i="1"/>
  <c r="X12" i="1"/>
  <c r="X11" i="1"/>
  <c r="X8" i="1"/>
  <c r="AJ12" i="1" l="1"/>
  <c r="AU20" i="1"/>
  <c r="AU14" i="1"/>
  <c r="AP11" i="1"/>
  <c r="AJ22" i="1"/>
  <c r="AJ14" i="1"/>
  <c r="AJ6" i="1"/>
  <c r="AK6" i="1" s="1"/>
  <c r="AL6" i="1" s="1"/>
  <c r="AL10" i="1" s="1"/>
  <c r="AU23" i="1" l="1"/>
  <c r="AA22" i="1"/>
  <c r="AA6" i="1"/>
  <c r="K5" i="2" s="1"/>
  <c r="AA20" i="1"/>
  <c r="AJ20" i="1"/>
  <c r="AA21" i="1"/>
  <c r="AA16" i="1"/>
  <c r="X17" i="1"/>
  <c r="Y20" i="1"/>
  <c r="AA12" i="1"/>
  <c r="K8" i="2" s="1"/>
  <c r="AA8" i="1"/>
  <c r="K6" i="2" l="1"/>
  <c r="AQ6" i="1"/>
  <c r="K11" i="2"/>
  <c r="AB20" i="1"/>
  <c r="L11" i="2" s="1"/>
  <c r="AB16" i="1"/>
  <c r="L10" i="2" s="1"/>
  <c r="K10" i="2"/>
  <c r="AB21" i="1"/>
  <c r="L12" i="2" s="1"/>
  <c r="K12" i="2"/>
  <c r="AB22" i="1"/>
  <c r="L13" i="2" s="1"/>
  <c r="K13" i="2"/>
  <c r="AB6" i="1"/>
  <c r="H6" i="1"/>
  <c r="AA14" i="1"/>
  <c r="AB8" i="1"/>
  <c r="AA11" i="1"/>
  <c r="AQ11" i="1" s="1"/>
  <c r="AB12" i="1"/>
  <c r="L8" i="2" s="1"/>
  <c r="AC16" i="1"/>
  <c r="M10" i="2" s="1"/>
  <c r="H8" i="1"/>
  <c r="Y11" i="1"/>
  <c r="Y22" i="1"/>
  <c r="H14" i="1" l="1"/>
  <c r="K9" i="2"/>
  <c r="K7" i="2"/>
  <c r="AC6" i="1"/>
  <c r="AC10" i="1" s="1"/>
  <c r="AC19" i="1"/>
  <c r="M11" i="2" s="1"/>
  <c r="AB14" i="1"/>
  <c r="AB11" i="1"/>
  <c r="L7" i="2" s="1"/>
  <c r="AC11" i="1"/>
  <c r="AQ14" i="1"/>
  <c r="L6" i="2"/>
  <c r="L5" i="2"/>
  <c r="H11" i="1"/>
  <c r="AI22" i="1"/>
  <c r="AK22" i="1" s="1"/>
  <c r="AI20" i="1"/>
  <c r="AK20" i="1" s="1"/>
  <c r="R14" i="1"/>
  <c r="Y14" i="1" s="1"/>
  <c r="Z14" i="1" s="1"/>
  <c r="Z15" i="1" s="1"/>
  <c r="R12" i="1"/>
  <c r="AI11" i="1"/>
  <c r="AL11" i="1" s="1"/>
  <c r="AI8" i="1"/>
  <c r="AK8" i="1" s="1"/>
  <c r="AP22" i="1"/>
  <c r="AQ22" i="1" s="1"/>
  <c r="AP20" i="1"/>
  <c r="AQ20" i="1" s="1"/>
  <c r="AP14" i="1"/>
  <c r="R6" i="1"/>
  <c r="Y6" i="1" s="1"/>
  <c r="R8" i="1"/>
  <c r="Y8" i="1" s="1"/>
  <c r="Z6" i="1" s="1"/>
  <c r="Z10" i="1" s="1"/>
  <c r="Z11" i="1" l="1"/>
  <c r="Z13" i="1" s="1"/>
  <c r="AI12" i="1"/>
  <c r="AK12" i="1" s="1"/>
  <c r="AL12" i="1" s="1"/>
  <c r="AL13" i="1" s="1"/>
  <c r="M7" i="2"/>
  <c r="AC13" i="1"/>
  <c r="Z26" i="1"/>
  <c r="AC14" i="1"/>
  <c r="L9" i="2"/>
  <c r="M5" i="2"/>
  <c r="AI14" i="1"/>
  <c r="AL14" i="1" s="1"/>
  <c r="AL15" i="1" s="1"/>
  <c r="Y12" i="1"/>
  <c r="M9" i="2" l="1"/>
  <c r="AC15" i="1"/>
  <c r="AC26" i="1"/>
</calcChain>
</file>

<file path=xl/comments1.xml><?xml version="1.0" encoding="utf-8"?>
<comments xmlns="http://schemas.openxmlformats.org/spreadsheetml/2006/main">
  <authors>
    <author>gaona.solano.javier@gmail.com</author>
  </authors>
  <commentList>
    <comment ref="R6" authorId="0" shapeId="0">
      <text>
        <r>
          <rPr>
            <b/>
            <sz val="12"/>
            <color rgb="FF000000"/>
            <rFont val="Tahoma"/>
            <family val="2"/>
          </rPr>
          <t xml:space="preserve">SUBSIDIOS 2023:
</t>
        </r>
        <r>
          <rPr>
            <b/>
            <sz val="12"/>
            <color rgb="FF000000"/>
            <rFont val="Tahoma"/>
            <family val="2"/>
          </rPr>
          <t xml:space="preserve">
</t>
        </r>
        <r>
          <rPr>
            <b/>
            <sz val="12"/>
            <color rgb="FF000000"/>
            <rFont val="Tahoma"/>
            <family val="2"/>
          </rPr>
          <t xml:space="preserve">  58 CLP 1 y 2
</t>
        </r>
        <r>
          <rPr>
            <b/>
            <sz val="12"/>
            <color rgb="FF000000"/>
            <rFont val="Tahoma"/>
            <family val="2"/>
          </rPr>
          <t xml:space="preserve">  35 Caminos del Cerro
</t>
        </r>
        <r>
          <rPr>
            <b/>
            <sz val="12"/>
            <color rgb="FF000000"/>
            <rFont val="Tahoma"/>
            <family val="2"/>
          </rPr>
          <t xml:space="preserve">230 </t>
        </r>
        <r>
          <rPr>
            <b/>
            <sz val="12"/>
            <color rgb="FF000000"/>
            <rFont val="Tahoma"/>
            <family val="34"/>
          </rPr>
          <t>Convenio CD-06-2021</t>
        </r>
        <r>
          <rPr>
            <sz val="12"/>
            <color rgb="FF000000"/>
            <rFont val="Calibri"/>
            <family val="2"/>
          </rPr>
          <t xml:space="preserve"> </t>
        </r>
        <r>
          <rPr>
            <b/>
            <sz val="12"/>
            <color rgb="FF000000"/>
            <rFont val="Tahoma"/>
            <family val="2"/>
          </rPr>
          <t xml:space="preserve">Presupeusto 2023
</t>
        </r>
        <r>
          <rPr>
            <b/>
            <sz val="12"/>
            <color rgb="FF000000"/>
            <rFont val="Tahoma"/>
            <family val="2"/>
          </rPr>
          <t xml:space="preserve">660 Convenio CD-06-2021 </t>
        </r>
        <r>
          <rPr>
            <b/>
            <sz val="12"/>
            <color rgb="FF000000"/>
            <rFont val="Tahoma"/>
            <family val="34"/>
          </rPr>
          <t>Presupeusto 2022</t>
        </r>
        <r>
          <rPr>
            <sz val="12"/>
            <color rgb="FF000000"/>
            <rFont val="Calibri"/>
            <family val="2"/>
          </rPr>
          <t xml:space="preserve"> </t>
        </r>
      </text>
    </comment>
    <comment ref="R8" authorId="0" shapeId="0">
      <text>
        <r>
          <rPr>
            <b/>
            <sz val="12"/>
            <color rgb="FF000000"/>
            <rFont val="Tahoma"/>
            <family val="2"/>
          </rPr>
          <t xml:space="preserve">VIVIENDAS 2023:
</t>
        </r>
        <r>
          <rPr>
            <b/>
            <sz val="12"/>
            <color rgb="FF000000"/>
            <rFont val="Tahoma"/>
            <family val="2"/>
          </rPr>
          <t xml:space="preserve">
</t>
        </r>
        <r>
          <rPr>
            <b/>
            <sz val="12"/>
            <color rgb="FF000000"/>
            <rFont val="Tahoma"/>
            <family val="2"/>
          </rPr>
          <t xml:space="preserve">230 CD-06-2021 Presupuesto 2023
</t>
        </r>
        <r>
          <rPr>
            <b/>
            <sz val="12"/>
            <color rgb="FF000000"/>
            <rFont val="Tahoma"/>
            <family val="34"/>
          </rPr>
          <t>660 CD-06-2021 Presupuesto 2022</t>
        </r>
        <r>
          <rPr>
            <sz val="12"/>
            <color rgb="FF000000"/>
            <rFont val="Tahoma"/>
            <family val="34"/>
          </rPr>
          <t xml:space="preserve"> </t>
        </r>
        <r>
          <rPr>
            <b/>
            <sz val="12"/>
            <color rgb="FF000000"/>
            <rFont val="Tahoma"/>
            <family val="34"/>
          </rPr>
          <t xml:space="preserve">
</t>
        </r>
        <r>
          <rPr>
            <b/>
            <sz val="12"/>
            <color rgb="FF000000"/>
            <rFont val="Tahoma"/>
            <family val="2"/>
          </rPr>
          <t xml:space="preserve">126 Bahía San carlos Torre 2
</t>
        </r>
        <r>
          <rPr>
            <b/>
            <sz val="12"/>
            <color rgb="FF000000"/>
            <rFont val="Tahoma"/>
            <family val="2"/>
          </rPr>
          <t xml:space="preserve">  35 Caminos del Cerro</t>
        </r>
      </text>
    </comment>
    <comment ref="R11" authorId="0" shapeId="0">
      <text>
        <r>
          <rPr>
            <b/>
            <sz val="12"/>
            <color rgb="FF000000"/>
            <rFont val="Tahoma"/>
            <family val="2"/>
          </rPr>
          <t xml:space="preserve">MEJORAMIENTO URBANO 2023:
</t>
        </r>
        <r>
          <rPr>
            <b/>
            <sz val="12"/>
            <color rgb="FF000000"/>
            <rFont val="Tahoma"/>
            <family val="2"/>
          </rPr>
          <t xml:space="preserve">
</t>
        </r>
        <r>
          <rPr>
            <b/>
            <sz val="12"/>
            <color rgb="FF000000"/>
            <rFont val="Tahoma"/>
            <family val="2"/>
          </rPr>
          <t xml:space="preserve">   1.500 CD-09-2022 Presupuesto 2022</t>
        </r>
      </text>
    </comment>
    <comment ref="R12" authorId="0" shapeId="0">
      <text>
        <r>
          <rPr>
            <b/>
            <sz val="12"/>
            <color rgb="FF000000"/>
            <rFont val="Tahoma"/>
            <family val="2"/>
          </rPr>
          <t xml:space="preserve">MEJORAMIENTO RURAL 2023:
</t>
        </r>
        <r>
          <rPr>
            <b/>
            <sz val="12"/>
            <color rgb="FF000000"/>
            <rFont val="Tahoma"/>
            <family val="2"/>
          </rPr>
          <t xml:space="preserve">
</t>
        </r>
        <r>
          <rPr>
            <b/>
            <sz val="12"/>
            <color rgb="FF000000"/>
            <rFont val="Tahoma"/>
            <family val="2"/>
          </rPr>
          <t xml:space="preserve">460 VIVIENDA RURAL DISTRITO Presupuesto 2023
</t>
        </r>
        <r>
          <rPr>
            <b/>
            <sz val="12"/>
            <color rgb="FF000000"/>
            <rFont val="Tahoma"/>
            <family val="2"/>
          </rPr>
          <t xml:space="preserve">232 VIVIENDA RURAL DISTRITL Presupuesto 2022
</t>
        </r>
        <r>
          <rPr>
            <b/>
            <sz val="12"/>
            <color rgb="FF000000"/>
            <rFont val="Tahoma"/>
            <family val="2"/>
          </rPr>
          <t>230 VIVIENDA RURAL MVCT</t>
        </r>
      </text>
    </comment>
    <comment ref="R14" authorId="0" shapeId="0">
      <text>
        <r>
          <rPr>
            <b/>
            <sz val="12"/>
            <color rgb="FF000000"/>
            <rFont val="Tahoma"/>
            <family val="2"/>
          </rPr>
          <t xml:space="preserve">TITULACIÓN 2023:
</t>
        </r>
        <r>
          <rPr>
            <b/>
            <sz val="12"/>
            <color rgb="FF000000"/>
            <rFont val="Tahoma"/>
            <family val="2"/>
          </rPr>
          <t xml:space="preserve">
</t>
        </r>
        <r>
          <rPr>
            <b/>
            <sz val="12"/>
            <color rgb="FF000000"/>
            <rFont val="Tahoma"/>
            <family val="2"/>
          </rPr>
          <t xml:space="preserve"> 1.518 TITULACIÓN x TRANSFERECIA DE PREDIOS
</t>
        </r>
        <r>
          <rPr>
            <b/>
            <sz val="12"/>
            <color rgb="FF000000"/>
            <rFont val="Tahoma"/>
            <family val="2"/>
          </rPr>
          <t>1.314 TITULACIÓN x CESIÓN GRATUITA</t>
        </r>
      </text>
    </comment>
  </commentList>
</comments>
</file>

<file path=xl/sharedStrings.xml><?xml version="1.0" encoding="utf-8"?>
<sst xmlns="http://schemas.openxmlformats.org/spreadsheetml/2006/main" count="465" uniqueCount="213">
  <si>
    <t>PILAR</t>
  </si>
  <si>
    <t xml:space="preserve">PROGRAMA </t>
  </si>
  <si>
    <t xml:space="preserve">DEPENDENCIA RESPONSABLE </t>
  </si>
  <si>
    <t>NOMBRE DEL RESPONSABLE</t>
  </si>
  <si>
    <t xml:space="preserve">RESILIENTE </t>
  </si>
  <si>
    <t xml:space="preserve">VIVIENDA PARA TODOS </t>
  </si>
  <si>
    <t>JUNTOS POR UNA VIVIENDA DIGNA</t>
  </si>
  <si>
    <t xml:space="preserve">MEJORO MI CASA  COMPROMISO DE TODOS </t>
  </si>
  <si>
    <t>NÚMERO DE SUBSIDIOS DE VIVIENDA NUEVA ADJUDICADOS</t>
  </si>
  <si>
    <t>ND</t>
  </si>
  <si>
    <t>UN LUGAR APTO PARA MI HOGAR</t>
  </si>
  <si>
    <t xml:space="preserve">DIRECCIÓN  TÉCNICA </t>
  </si>
  <si>
    <t>CONSTRUIR INFORMACIÓN DE VALOR PARA LA CREACIÓN Y SEGUIMIENTO DE POLÍTICAS PÚBLICAS DEL SECTOR VIVIENDA EN EL DISTRITO TURÍSTICO Y CULTURAL DE CARTAGENA DE INDIAS</t>
  </si>
  <si>
    <t xml:space="preserve">NÚMERO DE VIVIENDAS INICIADAS </t>
  </si>
  <si>
    <t>INDICADOR DE BIENESTAR</t>
  </si>
  <si>
    <t>DESCRIPCIÓN DE LA META PRODUCTO 2020-2023</t>
  </si>
  <si>
    <t>OBJETIVO DEL PROYECTO</t>
  </si>
  <si>
    <t>FUENTE DE FINANCIACIÓN</t>
  </si>
  <si>
    <t xml:space="preserve">
REDUCIR EL DÉFICIT HABITACIONAL CUANTITATIVO DE LA POBLACIÓN VULNERABLE OBJETIVO DEL DISTRITO TURÍSTICO Y CULTURAL DE CARTAGENA DE INDIAS.
</t>
  </si>
  <si>
    <t>REDUCIR EL DÉFICIT HABITACIONAL CUALITATIVO DE LOS HOGARES CON NECESIDADES BÁSICAS INSATISFECHAS DE HABITABILIDAD DEL DISTRITO TURÍSTICO Y CULTURAL DE CARTAGENA DE INDIAS.</t>
  </si>
  <si>
    <t>REDUCIR EL DÉFICIT DE LEGALIZACIÓN Y TITULACIÓN DE PREDIOS EN SITUACIÓN DE ILEGALIDAD EN EL DISTRITO TURÍSTICO Y CULTURAL DE CARTAGENA DE INDIAS.</t>
  </si>
  <si>
    <t>APLICACIÓN A SUBSIDIOS E INICIACIÓN DE VIVIENDAS PARA LA POBLACIÓN BENEFICIADA DEL PROGRAMA JUNTOS POR UNA VIVIENDA DIGNA DE LA CIUDAD DE CARTAGENA DE INDIAS</t>
  </si>
  <si>
    <t>MEJORAMIENTO DE LAS CONDICIONES DE HABITABILIDAD PARA LA POBLACIÓN BENEFICIADA DEL SECTOR URBANO Y RURAL DEL PROGRAMA MEJOR MI CASA COMPROMISO DE TODOS DEL DISTRITO DE CARTAGENA DE INDIAS</t>
  </si>
  <si>
    <t>TITULACIÓN Y/O LEGALIZACIÓN DE PREDIOS PARA LA POBLACIÓN BENEFICIADA DEL PROGRAMA MI CASA A LO LEGAL DE LA CIUDAD DE CARTAGENA DE INDIAS</t>
  </si>
  <si>
    <t>BPIN - 2020130010152</t>
  </si>
  <si>
    <t>BPIN - 2020130010153</t>
  </si>
  <si>
    <t>BPIN - 2020130010154</t>
  </si>
  <si>
    <t>BPIN - 2020130010306</t>
  </si>
  <si>
    <t>BPIN - 2020130010308</t>
  </si>
  <si>
    <t>RUBRO
PRESUPUESTAL</t>
  </si>
  <si>
    <t>DISMINUCIÓN DE 10,9% DEL DÉFICIT CUANTITATIVO DE VIVIENDA CON VIVIENDAS INICIADAS
(4.000)</t>
  </si>
  <si>
    <t xml:space="preserve">VIVIENDAS INICIADAS </t>
  </si>
  <si>
    <t>19.258
VIVIENDAS</t>
  </si>
  <si>
    <t>36.794
HOGARES
SIN
VIVIENDA</t>
  </si>
  <si>
    <t>DISMINUCIÓN DE 23,4% DEL DÉFICIT CUALITATIVO DE VIVIENDA
(4.500)</t>
  </si>
  <si>
    <t xml:space="preserve">NÚMERO DE VIVIENDAS MEJORADAS SECTOR URBANO </t>
  </si>
  <si>
    <t>NÚMERO DE VIVIENDAS MEJORADAS SECTOR RURAL</t>
  </si>
  <si>
    <t>VIVIENDAS MEJORADAS EN ZONA URBANA DEL DISTRITO DE CARTAGENA</t>
  </si>
  <si>
    <t>VIVIENDAS MEJORADAS EN ZONA RURAL E INSULAR DEL DISTRITO DE CARTAGENA</t>
  </si>
  <si>
    <t>14.770
VIVIENDAS</t>
  </si>
  <si>
    <t>DISMINUCIÓN DE 30,5% DEL DÉFICIT DE LEGALIZACIÓN Y TITULACIÓN DE PREDIOS
(4.500)</t>
  </si>
  <si>
    <t>¡MI CASA A LO LEGAL!</t>
  </si>
  <si>
    <t xml:space="preserve">PREDIOS LEGALIZADOS Y/O TITULADOS EN EL DISTRITO DE CARTAGENA </t>
  </si>
  <si>
    <t xml:space="preserve">NÚMERO DE DOCUMENTOS TÉCNICOS DE SOPORTE DTS ELABORADOS PARA LA LEGALIZACIÓN URBANÍSTICA A REALIZARSE </t>
  </si>
  <si>
    <t xml:space="preserve">NÚMERO DE ESTUDIOS Y SEGUIMIENTOS PARA LA CONFORMACIÓN DE LA LÍNEA ESTRATÉGICA DE ESTUDIOS DE VIVIENDA VIS </t>
  </si>
  <si>
    <t>LÍNEA ESTRATÉGICA</t>
  </si>
  <si>
    <t>DISMINUCIÓN DE 13,6% DEL DÉFICIT CUANTITATIVO DE VIVIENDA CON SUBSIDIOS ADJUDICADOS
(5.000)</t>
  </si>
  <si>
    <t xml:space="preserve">ADJUDICACIÓN DE SUBSIDIOS DISTRITALES DE VIVIENDA PARA LA POBLACIÓN DE LOS ESTRATOS 1, 2 Y 3 </t>
  </si>
  <si>
    <t xml:space="preserve">DÉFICIT CUALITATIVO DE VIVIENDA DISMINUIDO  EN EL DISTRITO DE CARTAGENA </t>
  </si>
  <si>
    <t xml:space="preserve">DÉFICIT  DE LEGALIZACIÓN Y TITULACIÓN DE PREDIOS  DISMINUIDO EN EL DISTRITO DE CARTAGENA </t>
  </si>
  <si>
    <t>NUMERO DE PREDIOS LEGALIZADOS Y/O TITULADOS</t>
  </si>
  <si>
    <t xml:space="preserve"> TRAMITAR Y OTORGAR TÍTULOS DE PROPIEDAD</t>
  </si>
  <si>
    <t xml:space="preserve">OFICINA ASESORA JURÍDICA </t>
  </si>
  <si>
    <t>ESTUDIOS Y SEGUIMIENTO PARA LA CONFORMACIÓN DE LA LÍNEA ESTRATÉGICA DE ESTUDIOS DE VIVIENDA VIS QUE SE ARTICULARÁ EN EL OBSERVATORIO DISTRITAL</t>
  </si>
  <si>
    <t>ELABORACIÓN DE ESTUDIOS SECTORIALES Y SEGUIMIENTO A LA LÍNEA ESTRATÉGICA DE VIVIENDA A TRAVÉS DE UN OBSERVATORIO DE VIVIENDA DE INTERÉS SOCIAL DEL PROGRAMA MI CASA, MI ENTORNO, MI HÁBITAT DE LA CIUDAD DE CARTAGENA DE INDIAS</t>
  </si>
  <si>
    <t>ELABORACIÓN DE DOCUMENTOS TÉCNICOS DE SOPORTE DTS PARA LA LEGALIZACIÓN URBANÍSTICA A REALIZARSE</t>
  </si>
  <si>
    <t>ELABORACIÓN DE ESTUDIOS Y TRÁMITES DE LEGALIZACIÓN URBANÍSTICA DE BARRIOS DEL PROGRAMA MI CASA, MI ENTORNO, MI HÁBITAT, EN LA CIUDAD DE CARTAGENA DE INDIAS</t>
  </si>
  <si>
    <t>AUMENTAR LA DISPONIBILIDAD DE BARRIOS CON PROCESOS DE LEGALIZACIÓN URBANÍSTICA PARA QUE PUEDAN ACCEDER A LA OFERTA DE PROYECTOS DE MEJORAMIENTO DE VIVIENDA Y TITULACIÓN DE PREDIOS EN EL DISTRITO TURÍSTICO Y CULTURAL DE CARTAGENA DE INDIAS</t>
  </si>
  <si>
    <t>CÓDIGO DE PROYECTO BPIN</t>
  </si>
  <si>
    <t>UNIDAD DE MEDIDA DEL INDICADOR DE PRODUCTO</t>
  </si>
  <si>
    <t>FUENTE PRESUPUESTAL</t>
  </si>
  <si>
    <t>SUBSIDIOS FAMILIARES DE VIVIENDA ASIGNADOS</t>
  </si>
  <si>
    <t>VIVIENDAS
MEJORADAS</t>
  </si>
  <si>
    <t>VIVIENDAS MEJORADAS</t>
  </si>
  <si>
    <t>PREDIOS LEGALIZADOS Y/O TITULADOS</t>
  </si>
  <si>
    <t>INFORME DE ESTUDIO Y SEGUIMIENTO</t>
  </si>
  <si>
    <t>DOCUMENTO TÉCNICO DE SOPORTE</t>
  </si>
  <si>
    <t>INVERSIÓN</t>
  </si>
  <si>
    <t>MI CASA,
MI ENTORNO,
MI HÁBITAT</t>
  </si>
  <si>
    <t>OFICINA ASESORA DE PLANEACIÓN</t>
  </si>
  <si>
    <t xml:space="preserve">ELABORAR  DOCUMENTOS TÉCNICOS DE SOPORTE  PARA LEGALIZACIÓN URBANÍSTICA DE BARRIOS QUE CUMPLAN CON LOS CRITERIOS DE PROCEDENCIA  </t>
  </si>
  <si>
    <t>2.3.4001.1400.2020130010152</t>
  </si>
  <si>
    <t>1.2.2.0.00-39-ICDE-CORVIVIENDA 15% IPU</t>
  </si>
  <si>
    <t>APLICACIÓN A SUBSIDIOS FAMILIARES DE VIVIENDA PARA LA POBLACIÓN BENEFICIADA DEL PROGRAMA JUNTOS POR UNA VIVIENDA DIGNA DE LA CIUDAD DE CARTAGENA DE INDIAS</t>
  </si>
  <si>
    <t>VIVIENDAS INICIADAS PARA POBREZA EXTREMA. CLASE TRABAJADORA, VÍCTIMAS DEL CONFLICTO ARMANDO, REINCORPORADOS Y AFECTADOS POR OLA INVERNAL, FALLAS GEOLÓGICAS Y OTROS DESASTRES</t>
  </si>
  <si>
    <t>MEJORAMIENTO DE LAS CONDICIONES DE HABITABILIDAD PARA LA POBLACIÓN BENEFICIADA DEL SECTOR URBANO Y RURAL DEL PROGRAMA MEJORO MI CADA COMPROMISO DE TODOS DEL DISTRITO DE CARTAGENA DE INDIAS</t>
  </si>
  <si>
    <t>2.3.4001.1400.2020130010153</t>
  </si>
  <si>
    <t>TITULACION Y/O LEGALIZACIÓN DE PREDIOS PARA LA POBLACIÓN BENEFICIADA DEL PROGRAMA MI CASA A LO LEGAL DE LA CIUDAD DE CARTAGENA DE INDIAS</t>
  </si>
  <si>
    <t>2.3.4001.1400.2020130010154</t>
  </si>
  <si>
    <t>2.3.4002.1400.2020130010306</t>
  </si>
  <si>
    <t>2.3.4002.1400.2020130010308</t>
  </si>
  <si>
    <t>LINEA BASE
2019
SEGÚN PDD</t>
  </si>
  <si>
    <t>BENEFICIARIOS PROGRAMADOS</t>
  </si>
  <si>
    <t>BENEFICIARIOS CUBIERTOS</t>
  </si>
  <si>
    <t>ABOGADO BORIS SIERRA TÁMARA</t>
  </si>
  <si>
    <r>
      <rPr>
        <sz val="11.5"/>
        <color theme="1"/>
        <rFont val="Calibri (Cuerpo)"/>
      </rPr>
      <t>ADMINISTRADOR</t>
    </r>
    <r>
      <rPr>
        <sz val="14"/>
        <color theme="1"/>
        <rFont val="Calibri"/>
        <family val="2"/>
        <scheme val="minor"/>
      </rPr>
      <t xml:space="preserve"> JAVIER GAONA SOLANO</t>
    </r>
  </si>
  <si>
    <t>REALIZAR INFORME 
DE ESTUDIO Y SEGUIMIENTO DE INVESTIGACIÓN DEL SECTOR VIVIENDA DEL DISTRITO DE CARTAGENA DE INDIAS</t>
  </si>
  <si>
    <t>LINEA BASE INDICADOR DE BIENESTAR A 2019</t>
  </si>
  <si>
    <t>DESCRIPCION META DE BIENESTAR 2020-2023</t>
  </si>
  <si>
    <t>UNIDAD DE MEDIDA META DE BIENESTAR</t>
  </si>
  <si>
    <t>INDICADOR DE PRODUCTO SEGÚN PDD</t>
  </si>
  <si>
    <t>DENOMINACIÓN DEL PRODUCTO</t>
  </si>
  <si>
    <t>ENTREGABLE
INDICADOR DE PRODUCTO SEGÚN CATALOGO DE PRODUCTO</t>
  </si>
  <si>
    <t>VALOR DE LA META PRODUCTO 
2020-2023</t>
  </si>
  <si>
    <t>ACUMULADO DE META PRODUCTO 2020-2022</t>
  </si>
  <si>
    <t>PLANTEAMIENTO ESTRATÉGICO PLAN DE DESARROLLO</t>
  </si>
  <si>
    <t>PROYECTO DE INVERSIÓN</t>
  </si>
  <si>
    <t>ENTREGABLE</t>
  </si>
  <si>
    <t>FECHA DE INICIO DE LA ACTIVIDAD O ENTREGABLE</t>
  </si>
  <si>
    <t>FECHA DE TERMINACIÓN DEL ENTREGABLE</t>
  </si>
  <si>
    <t>TIEMPO DE EJECUCIÓN
(número de días)</t>
  </si>
  <si>
    <t>PROGRAMACIÓN PRESUPUESTAL</t>
  </si>
  <si>
    <t>1.2.1.0.00-001-ICLD</t>
  </si>
  <si>
    <t>ENERO
2023</t>
  </si>
  <si>
    <t>NÚMERO DE VIVIENDAS INICIADAS</t>
  </si>
  <si>
    <t>NÚMERO DE SUBSIDIOS DE MEJORAMIENTO DE VIVIENDA ADJUDICADOS</t>
  </si>
  <si>
    <t>NÚMERO DE PREDIOS LEGALIZADOS Y/O TITULADOS</t>
  </si>
  <si>
    <t xml:space="preserve">DISMINUIR EL DÉFICIT CUANTITATIVO DE VIVIENDA </t>
  </si>
  <si>
    <t xml:space="preserve">DISMINUIR EL DÉFICIT CUALITATIVO DE VIVIENDA </t>
  </si>
  <si>
    <t>DISMINUIR EL DÉFICIT DE LEGALIZACIÓN Y TITULACIÓN DE PREDIOS</t>
  </si>
  <si>
    <t>VIVIENDAS DE INTERÉS PRIORITARIO URBANAS CONSTRUIDAS</t>
  </si>
  <si>
    <t>X</t>
  </si>
  <si>
    <t xml:space="preserve">HOGARES BENEFICIADOS CON ADQUISICIÓN DE VIVIENDA </t>
  </si>
  <si>
    <t xml:space="preserve">HOGARES BENEFICIADOS CON MEJORAMIENTO DE UNA VIVIENDA  </t>
  </si>
  <si>
    <t>ENTIDADES TERRITORIALES ASISTIDAS TÉCNICA Y JURÍDICAMENTE</t>
  </si>
  <si>
    <t>SISTEMAS DE INFORMACIÓN ACTUALIZADOS</t>
  </si>
  <si>
    <t>INSTRUMENTOS NORMATIVOS FORMULADOS</t>
  </si>
  <si>
    <t>PROGRAMACIÓN META BIENESTAR 
2023</t>
  </si>
  <si>
    <t>NA</t>
  </si>
  <si>
    <t>VERIFICAR INICIO DE OBRAS UNIDADES HABITACIONALES EN EL MARCO DEL PROYECTO BAHÍA SAN CARLOS TORRE 2</t>
  </si>
  <si>
    <t>VERIFICAR INICIO DE OBRAS UNIDADES HABITACIONALES  CON SUBSIDIOS PROGRAMA 
MI CASA YA</t>
  </si>
  <si>
    <t>ASIGNAR SUBSIDIOS TOTALES Y  COMPLEMENTARIOS DE VIVIENDA</t>
  </si>
  <si>
    <t>TERMINACIÓN  Y ENTREGA UNIDADES HABITACIONALES EN EL MARCO DEL PROYECTO CLP  3, 4, 5 Y CAMINOS DEL CERRO</t>
  </si>
  <si>
    <t>SUBSIDIOS DE VIVIENDA</t>
  </si>
  <si>
    <t>VIVIENDAS INICIADAS Y/O TERMINADAS</t>
  </si>
  <si>
    <t>VIVIENDAS ENTREGADAS</t>
  </si>
  <si>
    <t>VIVIENDAS 
INICIADAS</t>
  </si>
  <si>
    <t>DICIEMBRE
2023</t>
  </si>
  <si>
    <t>TÍTULOS
DE
PROPIEDAD</t>
  </si>
  <si>
    <t>DOCUMENTO
TÉCNICO
DE
SOPORTE</t>
  </si>
  <si>
    <t>PRESUPUESTO DE INVERSIÓN 2023</t>
  </si>
  <si>
    <t>% AVANCE CUATRIENIO</t>
  </si>
  <si>
    <r>
      <t xml:space="preserve">FUENTE:   </t>
    </r>
    <r>
      <rPr>
        <b/>
        <sz val="11"/>
        <color theme="1"/>
        <rFont val="Calibri (Cuerpo)"/>
      </rPr>
      <t>OFICINA ASESORA DE PLANEACIÓN</t>
    </r>
    <r>
      <rPr>
        <b/>
        <sz val="11"/>
        <color theme="1"/>
        <rFont val="Calibri"/>
        <family val="2"/>
        <scheme val="minor"/>
      </rPr>
      <t xml:space="preserve"> CORVIVIENDA</t>
    </r>
  </si>
  <si>
    <t>NP</t>
  </si>
  <si>
    <r>
      <rPr>
        <b/>
        <sz val="11"/>
        <color theme="1"/>
        <rFont val="Calibri (Cuerpo)"/>
      </rPr>
      <t>PROGRAMACIÓN</t>
    </r>
    <r>
      <rPr>
        <b/>
        <sz val="12"/>
        <color theme="1"/>
        <rFont val="Calibri"/>
        <family val="2"/>
        <scheme val="minor"/>
      </rPr>
      <t xml:space="preserve"> META PRODUCTO A 2023</t>
    </r>
  </si>
  <si>
    <t>AVANCE METAS PRODUCTOS  EN EL CUATRIENIO</t>
  </si>
  <si>
    <t>% AVANCE DE LAS METAS EN EL CUATRIENIO</t>
  </si>
  <si>
    <t>% AVANCE DEL PROGRAMA EN EL CUATRIENIO</t>
  </si>
  <si>
    <t>AVANCE META PRODUCTO 
2023</t>
  </si>
  <si>
    <t>% AVANCE DE LAS METAS A 2023</t>
  </si>
  <si>
    <t>% AVANCE DEL PROGRAMA  2023</t>
  </si>
  <si>
    <t>NÚMERO DE INSTRUMENTOS Y/O DIAGNÓSTICOS QUE IDENTIFIQUEN ÁREAS DISPONIBLES PARA LA CONSTRUCCIÓN DE VIVIENDAS VIS Y/O VIP</t>
  </si>
  <si>
    <t>DOCUMENTO TÉCNICO, INSTRUMENTO Y/O DIAGNÓSTICO</t>
  </si>
  <si>
    <t>DOCUMENTOS TÉCNICOS, INSTRUMENTOS Y/O DIAGNÓSTICOS DESTINADOS A IDENTIFICAR SUELO DISPONIBLE PARA LA CONSTRUCCIÓN DE VIVIENDAS VIS Y/O VIP EN EL DISTRITO DE CARTAGENA DE INDIAS</t>
  </si>
  <si>
    <t>HECTÁREAS</t>
  </si>
  <si>
    <t xml:space="preserve">ADQUISICIÓŃN DE HECTÁREAS IDENTIFICADAS PARA LA CONSTRUCCIÓŃN DE VIVIENDAS VIS Y/O VIP EN EL DISTRITO DE CARTAGENA DE INDIAS </t>
  </si>
  <si>
    <t>DOCUMENTOS TÉCNICOS, INSTRUMENTOS Y/O DIAGNÓSTICOS</t>
  </si>
  <si>
    <t>HECTÁREAS DE TIERRAS</t>
  </si>
  <si>
    <t xml:space="preserve">NÚMERO DE DOCUMENTOS, ESTUDIOS O INFORMES REALIZADOS PARA LA MEDICIÓN INTEGRAL DE LAS NECESIDADES HABITACIONALES (MINH) </t>
  </si>
  <si>
    <t>DOCUMENTO GENERAL E INFORMES DE SEGUIMIENTO</t>
  </si>
  <si>
    <t>DOCUMENTO GENERAL E INFORMES DE SEGUIMIENTO PARA LA MEDICIÓN DE LAS NECESIDADES HABITACIONALES (MINH)</t>
  </si>
  <si>
    <t>INSTRUMENTO DE PLANEACIÓN Y/O GESTIÓN URBANÍSTICA</t>
  </si>
  <si>
    <t>FORMULACIÓN Y/O PARTICIPACIÓN EN INSTRUMENTOS DE PLANEACIÓN Y/O GESTIÓN URBANÍSTICA QUE DESARROLLE EL POT (PLAN PARCIAL)</t>
  </si>
  <si>
    <t xml:space="preserve">FORMULACIÓN Y/O PARTICIPACIÓN INSTRUMENTOS DE PLANEACIÓN Y/O GESTIÓN URBANÍSTICA QUE DESARROLLEN EL POT </t>
  </si>
  <si>
    <t>FORMULACIÓN Y/O PARTICIPACIÓN EN INSTRUMENTOS DE PLANEACIÓN
NUEVO POT</t>
  </si>
  <si>
    <t>% AVANCE METAS CORVIVIENDA 2023</t>
  </si>
  <si>
    <t>ESTUDIO DEL SECTOR VIVIENDA</t>
  </si>
  <si>
    <t>INGENIERA FANIA CANTILLO CASTILLA</t>
  </si>
  <si>
    <t>1.
BIEN</t>
  </si>
  <si>
    <t>2.
SERVICIO</t>
  </si>
  <si>
    <t>PLAN DE ACCION INFORMACION DE ACTIVIDADES</t>
  </si>
  <si>
    <t>OBSERVACIONES</t>
  </si>
  <si>
    <t xml:space="preserve">DÉFICIT CUANTITATIVO DE VIVIENDA DISMINUIDO EN EL DISTRITO DE CARTAGENA </t>
  </si>
  <si>
    <t>META DE 
BIENESTAR 
2020-2023</t>
  </si>
  <si>
    <t>PROGRAMACIÓN NUMERICA DE LA ACTIVIDAD PROYECTO 2023</t>
  </si>
  <si>
    <t>PONDERACIÒN DE LAS ACTIVIDADES (HITOS) DE PROYECTO</t>
  </si>
  <si>
    <r>
      <t>A</t>
    </r>
    <r>
      <rPr>
        <b/>
        <sz val="12"/>
        <color theme="1"/>
        <rFont val="Calibri (Cuerpo)"/>
      </rPr>
      <t xml:space="preserve">CTIVIDADES DE PROYECTO DE INVERSION VIABILIZADAS EN SUIFP </t>
    </r>
    <r>
      <rPr>
        <b/>
        <sz val="12"/>
        <color theme="1"/>
        <rFont val="Calibri"/>
        <family val="2"/>
        <scheme val="minor"/>
      </rPr>
      <t>( HITOS )</t>
    </r>
  </si>
  <si>
    <t>APROPIACIÓN
 DEFINITIVA
(EN PESOS)</t>
  </si>
  <si>
    <t xml:space="preserve">NÚMERO DE HECTÁREAS DE TIERRAS APTAS PARA LA CONSTRUCCIÓN DE VIVIENDA NUEVA </t>
  </si>
  <si>
    <r>
      <t xml:space="preserve">CÓDIGO </t>
    </r>
    <r>
      <rPr>
        <b/>
        <sz val="11"/>
        <color theme="1"/>
        <rFont val="Calibri (Cuerpo)"/>
      </rPr>
      <t>PRESUPUESTAL</t>
    </r>
  </si>
  <si>
    <t>PRESUPUESTO EJECUTADO 2023</t>
  </si>
  <si>
    <t>Con respecto a la meta para la adquisición de 10 hectáreas identificadas para la construcción de viviendas VIS y/o VIP en el Distrito de Cartagena de Indias, esta meta no se programó durante el cuatrienio debido a que CORVIVIENDA no cuenta con el presupuesto suficiente para la programación de una compraventa de un bien raíz, debido a que el presupuesto general asignado a CORVIVENDA se encuentra pignorado con el 35% para las vigencias 2020 y 2021, con el 45% para la vigencia 2022 y con el 48% para la vigencia 2023, en atención al Acuerdo 004 del 8 de julio de 2019.</t>
  </si>
  <si>
    <t>Meta cumplida 100% vigencia 2022.</t>
  </si>
  <si>
    <t>LINEA BASE
2019 SEGÚN 
PDD 2020-2023</t>
  </si>
  <si>
    <t>INDICADOR DE PRODUCTO
PDD 2020-2023</t>
  </si>
  <si>
    <t>DESCRIPCIÓN DE LA META PRODUCTO 
2020-2023</t>
  </si>
  <si>
    <t>AVANCE METAS PRODUCTOS  CUATRIENIO</t>
  </si>
  <si>
    <t>% AVANCE DE LAS METAS CUATRIENIO</t>
  </si>
  <si>
    <t>% AVANCE DEL PROGRAMA CUATRIENIO</t>
  </si>
  <si>
    <t>ENTREGABLE
INDICADOR DE PRODUCTO</t>
  </si>
  <si>
    <t>UNIDAD DE MEDIDA INDICADOR DE PRODUCTO</t>
  </si>
  <si>
    <t>1. BIEN</t>
  </si>
  <si>
    <t>2. SERVICIO</t>
  </si>
  <si>
    <t xml:space="preserve">No se programa la presente meta durante el cuatrienio mientras no se adopte el nuevo POT de Cartagena. 
Está meta se fundamenta en la actualización del Plan Maestro de Vivienda a partir del nuevo Plan de Ordenamiento Territorial de la ciudad de Cartagena de Indias, en alineación con el Decreto Nacional 1077 de 2015 y las disposiciones que lo complementen o deroguen.
</t>
  </si>
  <si>
    <t>REPORTE META PRODUCTO
EJECUTADO DE ENERO 1 A 
MARZO 31</t>
  </si>
  <si>
    <t>REPORTE META PRODUCTO
EJECUTADO DE ABRIL 1 A
JUNIO 30</t>
  </si>
  <si>
    <t>REPORTE META PRODUCTO
EJECUTADO DE JULIO 1 A 
SEPTIEMBRE 30</t>
  </si>
  <si>
    <t>REPORTE META PRODUCTO
EJECUTADO DE OCTUBRE 1 A 
DICIEMBRE 31</t>
  </si>
  <si>
    <t>REPORTE ACTIVIDAD DE PROYECTO
EJECUTADO DE ENE 1 A DIC 30</t>
  </si>
  <si>
    <t>HOGARES POSTULADOS PLATAFORMA MINVIVIENDA MEJORAMIENTOS SECTO URBANO</t>
  </si>
  <si>
    <t xml:space="preserve"> REALIZAR  POSTULACIIONES PARA MEJORAS DE VIVIENDA EN EL MARCO DEL PROGRAMA "CAMBIA MI CASA" </t>
  </si>
  <si>
    <t xml:space="preserve"> REALIZAR  MEJORAS DE VIVIENDA EN EL SECTOR URBANO Y  RURAL CORREGIMIENTOS DE LA JURISDICCIÓN</t>
  </si>
  <si>
    <t>MEJORAMIENTO DE VIVIENDA SECTOR RURAL (88) Y SECTOR RURAL (834)</t>
  </si>
  <si>
    <t>REPORTE EJECUCIÓN PRESUPUESTAL
PROYECTO
(RP)</t>
  </si>
  <si>
    <t>SEGUIMIENTO PLAN DE ACCIÓN - IV TRIMESTRE 2023
FONDO DE VIVIENDA DE INTERÉS SOCIAL Y REFORMA URBANA DISTRITAL "CORVIVIENDA"</t>
  </si>
  <si>
    <t>OCTUBRE 2023
• Se asignan 143 SFV en el marco del Convenio Interadministrativo CD-06-2021 "Mi Casa Ya", mediante Res. 1370-2023 CVV (1), Res. 1427-2023 CVV (30), Res. 1431-2023 CVV (40), Res. 1443-2023 CVV (40). Res. 1478-2023 CVV (32).
NOVIEMBRE 2023
• Se anula 1 SFV en CLP 1 por perdida de fuerza de ejecutoria mediante Res. 1555 de 27.11.2023.
• Se asignan 4 SFV en el Proyecto Bahía San Carlos de acuerdo Res.1613 del 28.11.2023.
• Se asignan 62 SFV en el Proyecto CLP 1 y 2 de acuerdo Res.1617 del 29.11.2023 Población Vícitma Conficto Armado.
• Se asignan 79 SFV en el marco del Convenio Interadministrativo CD-06-2021 "Mi Casa Ya", mediante Res. 1532-2023 CVV (21), Res. 1540-2023 CVV (13), Res. 1616-2023 CVV (45).
DICIEMBRE 2023
• Se anula 1 SFV en el Proyecto Bahía San Carlos de acuerdo Res.2082 del 07.12.2023.
• Se acepta la renuncia de dos (2) SFV a través de la Res. 2107-2023 CVV y Res. 2111-2023 CVV.
• Se asignan 135 SFV en el marco del Convenio Interadministrativo CD-06-2021 "Mi Casa Ya", mediante Res. 1717-2023 CVV (48), Res. 2088-2023 CVV (16), Res. 2100-2023 CVV (42), Res. 2103-2023 CVV (18) y Res. 2109-2023 CVV (11).
• Se reporta 5 viviendas compradas para damnificados del Barrio San Francisco mediante Res. 938-2023, 1163-2023, 1182-2023, 1614-2023 y 1628-2023 CVV en el marco del Convenio Interadministrativo 593-2011.
• Para el IV Trimestre 2023 se reportan 355 viviendas inicadas con Subsidio Distrital Complementario para un total de 431 viviendas inicadas y terminadas para el 2023</t>
  </si>
  <si>
    <t>Acuerdo Oficio COR-OFI-001224-2023 se remitió a la Secretaría de Planeación Distrtital el Tercer Estudio del Sector Vivienda, “Hábitat y Vivienda: problemas y desafíos en el Distrito de Cartagena de Indias para una política pública del sector”, definiéndoe el problema público como insumo para la ficha de estructuración de la Política Pública de Vivienda y Hábitat del Distrito de Cartagena, dado que la ciudad actualmente no cuenta con un marco estratégico de mediano y largo plazo que le permita diseñar estrategias para la gestión efectiva del hábitat y la vivienda en atención a fenómenos como: crecimiento demográfico, urbanización, gentrificación, migración y asentamientos irregulares.
El documento está publicado en el repositorio del micrositio de del Observatorio de Vivienda Distrital de Cartagena OVIC, cumpliéndose con la meta al 100%.</t>
  </si>
  <si>
    <t>Con la Resolución 9103 del 28 de noviembre de 2023, la Secretaría de Planeación Distrital, luego de evaluada la procedencia de la legalización del asentamiento humano de "Arroz Barato" y realizado el estudio técnico y jurídico de la documentación entregada por CORVIVIENDA el día 21 de noviembre de 2023 a través del oficio COR-OFI-001093-2023, declararon la procedencia y se da inicio al proceso de legalización urbanística del asentamiento humano denominado "Arroz Barato", ubicado en la Localidad 3 Industrial y de la Bahía.
Con la entrega de los seis (6) DTS y trámite exitoso surtido, se da cumplimiento de la meta en un 100%.</t>
  </si>
  <si>
    <r>
      <t xml:space="preserve">FECHA ELABORACIÓN   </t>
    </r>
    <r>
      <rPr>
        <b/>
        <sz val="16"/>
        <color theme="1"/>
        <rFont val="Calibri (Cuerpo)"/>
      </rPr>
      <t>DÍA: 9  MES: ENERO   AÑO: 2024</t>
    </r>
  </si>
  <si>
    <t>• Convenio de Cooperación No. 009-2022 Programa "Cambia Mi Casa" del Gobierno Nacional está en Fase de Postulación con un avance de 1.248 viviendas postuladas de 1.300 registrados en la plataforma del MVCT.
• En el marco del Programa "Resiliente e Incluyente en Colombia" se han postulado 258 hogares para 187 mejoramientos de vivienda programados para (Pontezuela, Puerto Rey, Arroyo de piedra, Tierra baja y Punta Canoa) y en espera de inicio de obras por FONVIVIENDA.
• En el marco del contrato LP-004-2022 se realizaron 232 mejoras de vivienda sector rural con 100% de las actividades constructivas finalizadas con sus respectivas actas de entrega por parte de la interventoria.
• Contrato LP-CVV-003-2023 de 288 mejoras, se terminaron 173 y quedaron 115 sin realizar con plazo vencido; avance del 60%. Pendiente resolución de asignación. 
• Contrato SA-CVV-006-2023 de 60 mejoras, se terminaron 42 y quedaron 12 sin realizar con plazo vencido; avance del 70%. Pendiente resolución de asignación.</t>
  </si>
  <si>
    <t>Para el IV Trimestre 2023 se han  titulado 453 predios así:
• Se registraron por transferencia de dominio en la ORIP 202 titulos de propiedad con Certificados de Tradición y Libertad de Ciudadela de La Paz barrio El Pozón.
• Se tramitaron y registraron11 escrituras publicas de Manzana 72 barrio Bicentenario.
• Se registraron por cesión gratuita en la ORIP  241 titulos de propiedad con certificados de asignación.
• La ORIP devolvió un (1) titulo de propiedad CLP vigencia 2022 para subsanación y está pendiente por calificación.</t>
  </si>
  <si>
    <t>AVANCE DEL PROGRAMA JUNTOS POR UNA VIVIENDA DIGNA</t>
  </si>
  <si>
    <t>AVANCE DEL PROYECTO APLICACIÓN A SUBSIDIOS E INICIACIÓN DE VIVIENDAS PARA LA POBLACIÓN BENEFICIADA DEL PROGRAMA JUNTOS POR UNA VIVIENDA DIGNA DE LA CIUDAD DE CARTAGENA DE INDIAS</t>
  </si>
  <si>
    <t>AVANCE DE LAS ACTIVIDADES DEL PROYECTO
EJECUTADO DE ENE 1 A SEP 30</t>
  </si>
  <si>
    <t>REPORTE EJECUCIÓN PRESUPUESTAL
PROYECTO SEGÚN PREDIS PLANEACION
COMPROMISOS</t>
  </si>
  <si>
    <t>REPORTE EJECUCIÓN PRESUPUESTAL
PROYECTO SEGÚN PREDIS PLANEACION
GIROS</t>
  </si>
  <si>
    <t>AVANCE PRESUPUESTAL DEL PROYECTO</t>
  </si>
  <si>
    <t xml:space="preserve">AVANCE DEL PROGRAMA MEJORO MI CASA  COMPROMISO DE TODOS </t>
  </si>
  <si>
    <t>AVANCE DEL PROYECTO MEJORAMIENTO DE LAS CONDICIONES DE HABITABILIDAD PARA LA POBLACIÓN BENEFICIADA DEL SECTOR URBANO Y RURAL DEL PROGRAMA MEJOR MI CASA COMPROMISO DE TODOS DEL DISTRITO DE CARTAGENA DE INDIAS</t>
  </si>
  <si>
    <t>AVANCE DEL PROGRAMA MI CASA A LO LEGAL</t>
  </si>
  <si>
    <t>AVANCE DEL PROYECTO TITULACIÓN Y/O LEGALIZACIÓN DE PREDIOS PARA LA POBLACIÓN BENEFICIADA DEL PROGRAMA MI CASA A LO LEGAL DE LA CIUDAD DE CARTAGENA DE INDIAS</t>
  </si>
  <si>
    <t>AVANCE DEL PROGRAMA UN LUGAR APTO PARA MI HOGAR</t>
  </si>
  <si>
    <t>AVANCE DEL PROGRAMA MI CASA MI ENTORNO MI HABITAT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</si>
</sst>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quot;$&quot;* #,##0_-;_-&quot;$&quot;* &quot;-&quot;_-;_-@_-"/>
    <numFmt numFmtId="44" formatCode="_-&quot;$&quot;* #,##0.00_-;\-&quot;$&quot;* #,##0.00_-;_-&quot;$&quot;* &quot;-&quot;??_-;_-@_-"/>
    <numFmt numFmtId="43" formatCode="_-* #,##0.00_-;\-* #,##0.00_-;_-* &quot;-&quot;??_-;_-@_-"/>
    <numFmt numFmtId="164" formatCode="_-* #,##0_-;\-* #,##0_-;_-* &quot;-&quot;??_-;_-@_-"/>
    <numFmt numFmtId="165" formatCode="_-&quot;$&quot;* #,##0_-;\-&quot;$&quot;* #,##0_-;_-&quot;$&quot;* &quot;-&quot;??_-;_-@_-"/>
    <numFmt numFmtId="166" formatCode="#,##0.0"/>
    <numFmt numFmtId="167" formatCode="_-&quot;$&quot;* #,##0.00_-;\-&quot;$&quot;* #,##0.00_-;_-&quot;$&quot;* &quot;-&quot;_-;_-@_-"/>
    <numFmt numFmtId="168" formatCode="0.0%"/>
  </numFmts>
  <fonts count="53">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9"/>
      <color theme="1"/>
      <name val="Calibri"/>
      <family val="2"/>
      <scheme val="minor"/>
    </font>
    <font>
      <b/>
      <sz val="12"/>
      <color theme="1"/>
      <name val="Calibri"/>
      <family val="2"/>
      <scheme val="minor"/>
    </font>
    <font>
      <b/>
      <sz val="12"/>
      <color theme="1"/>
      <name val="Calibri (Cuerpo)"/>
    </font>
    <font>
      <sz val="12"/>
      <color theme="0"/>
      <name val="Calibri"/>
      <family val="2"/>
      <scheme val="minor"/>
    </font>
    <font>
      <b/>
      <sz val="12"/>
      <name val="Calibri"/>
      <family val="2"/>
      <scheme val="minor"/>
    </font>
    <font>
      <sz val="12"/>
      <name val="Calibri"/>
      <family val="2"/>
      <scheme val="minor"/>
    </font>
    <font>
      <sz val="14"/>
      <color theme="1"/>
      <name val="Calibri"/>
      <family val="2"/>
      <scheme val="minor"/>
    </font>
    <font>
      <sz val="16"/>
      <color theme="1"/>
      <name val="Calibri"/>
      <family val="2"/>
      <scheme val="minor"/>
    </font>
    <font>
      <sz val="14"/>
      <name val="Calibri"/>
      <family val="2"/>
      <scheme val="minor"/>
    </font>
    <font>
      <sz val="16"/>
      <name val="Calibri"/>
      <family val="2"/>
      <scheme val="minor"/>
    </font>
    <font>
      <sz val="24"/>
      <color theme="1"/>
      <name val="Calibri"/>
      <family val="2"/>
      <scheme val="minor"/>
    </font>
    <font>
      <b/>
      <sz val="12"/>
      <color rgb="FF000000"/>
      <name val="Tahoma"/>
      <family val="2"/>
    </font>
    <font>
      <b/>
      <sz val="12"/>
      <color rgb="FF000000"/>
      <name val="Tahoma"/>
      <family val="34"/>
    </font>
    <font>
      <sz val="12"/>
      <color rgb="FF000000"/>
      <name val="Tahoma"/>
      <family val="34"/>
    </font>
    <font>
      <sz val="18"/>
      <color theme="1"/>
      <name val="Calibri"/>
      <family val="2"/>
      <scheme val="minor"/>
    </font>
    <font>
      <b/>
      <sz val="18"/>
      <color theme="1"/>
      <name val="Calibri"/>
      <family val="2"/>
      <scheme val="minor"/>
    </font>
    <font>
      <sz val="11.5"/>
      <color theme="1"/>
      <name val="Calibri (Cuerpo)"/>
    </font>
    <font>
      <sz val="18"/>
      <color theme="1"/>
      <name val="Calibri (Cuerpo)"/>
    </font>
    <font>
      <b/>
      <sz val="11"/>
      <color theme="1"/>
      <name val="Calibri"/>
      <family val="2"/>
      <scheme val="minor"/>
    </font>
    <font>
      <sz val="15"/>
      <color theme="1"/>
      <name val="Calibri"/>
      <family val="2"/>
      <scheme val="minor"/>
    </font>
    <font>
      <b/>
      <sz val="11"/>
      <color rgb="FFC00000"/>
      <name val="Calibri"/>
      <family val="2"/>
      <scheme val="minor"/>
    </font>
    <font>
      <b/>
      <sz val="11"/>
      <color theme="1"/>
      <name val="Calibri (Cuerpo)"/>
    </font>
    <font>
      <sz val="12"/>
      <color rgb="FF000000"/>
      <name val="Calibri"/>
      <family val="2"/>
    </font>
    <font>
      <b/>
      <sz val="16"/>
      <color rgb="FFC00000"/>
      <name val="Calibri"/>
      <family val="2"/>
      <scheme val="minor"/>
    </font>
    <font>
      <b/>
      <sz val="16"/>
      <color theme="1"/>
      <name val="Calibri (Cuerpo)"/>
    </font>
    <font>
      <b/>
      <sz val="20"/>
      <color rgb="FFFF0000"/>
      <name val="Calibri"/>
      <family val="2"/>
      <scheme val="minor"/>
    </font>
    <font>
      <b/>
      <sz val="16"/>
      <color rgb="FFFF0000"/>
      <name val="Calibri"/>
      <family val="2"/>
      <scheme val="minor"/>
    </font>
    <font>
      <sz val="14"/>
      <color rgb="FFFF0000"/>
      <name val="Calibri"/>
      <family val="2"/>
      <scheme val="minor"/>
    </font>
    <font>
      <b/>
      <sz val="18"/>
      <color rgb="FFFF0000"/>
      <name val="Calibri"/>
      <family val="2"/>
      <scheme val="minor"/>
    </font>
    <font>
      <sz val="16"/>
      <color rgb="FFFF0000"/>
      <name val="Calibri"/>
      <family val="2"/>
      <scheme val="minor"/>
    </font>
    <font>
      <b/>
      <sz val="22"/>
      <color rgb="FFFF0000"/>
      <name val="Calibri"/>
      <family val="2"/>
      <scheme val="minor"/>
    </font>
    <font>
      <b/>
      <sz val="24"/>
      <color rgb="FFFF0000"/>
      <name val="Calibri"/>
      <family val="2"/>
      <scheme val="minor"/>
    </font>
    <font>
      <b/>
      <sz val="26"/>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E2EFDA"/>
        <bgColor indexed="64"/>
      </patternFill>
    </fill>
    <fill>
      <patternFill patternType="solid">
        <fgColor theme="4" tint="0.79998168889431442"/>
        <bgColor indexed="64"/>
      </patternFill>
    </fill>
    <fill>
      <patternFill patternType="solid">
        <fgColor theme="9"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s>
  <cellStyleXfs count="4">
    <xf numFmtId="0" fontId="0" fillId="0" borderId="0"/>
    <xf numFmtId="43"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cellStyleXfs>
  <cellXfs count="532">
    <xf numFmtId="0" fontId="0" fillId="0" borderId="0" xfId="0"/>
    <xf numFmtId="0" fontId="20" fillId="0" borderId="0" xfId="0" applyFont="1"/>
    <xf numFmtId="0" fontId="20" fillId="2" borderId="0" xfId="0" applyFont="1" applyFill="1"/>
    <xf numFmtId="0" fontId="18" fillId="0" borderId="0" xfId="0" applyFont="1"/>
    <xf numFmtId="0" fontId="18" fillId="0" borderId="0" xfId="0" applyFont="1" applyAlignment="1">
      <alignment horizontal="center"/>
    </xf>
    <xf numFmtId="0" fontId="26" fillId="0" borderId="0" xfId="0" applyFont="1"/>
    <xf numFmtId="0" fontId="27" fillId="0" borderId="0" xfId="0" applyFont="1"/>
    <xf numFmtId="0" fontId="26" fillId="0" borderId="0" xfId="0" applyFont="1" applyAlignment="1">
      <alignment horizontal="center"/>
    </xf>
    <xf numFmtId="0" fontId="26" fillId="0" borderId="0" xfId="0" applyFont="1" applyAlignment="1">
      <alignment horizontal="center" vertical="center"/>
    </xf>
    <xf numFmtId="0" fontId="0" fillId="0" borderId="0" xfId="0" applyAlignment="1">
      <alignment textRotation="90"/>
    </xf>
    <xf numFmtId="3" fontId="27" fillId="0" borderId="0" xfId="0" applyNumberFormat="1" applyFont="1" applyAlignment="1">
      <alignment horizontal="center"/>
    </xf>
    <xf numFmtId="3" fontId="27" fillId="0" borderId="0" xfId="0" applyNumberFormat="1" applyFont="1"/>
    <xf numFmtId="0" fontId="23" fillId="0" borderId="0" xfId="0" applyFont="1"/>
    <xf numFmtId="3" fontId="26" fillId="0" borderId="0" xfId="0" applyNumberFormat="1" applyFont="1" applyAlignment="1">
      <alignment horizontal="center"/>
    </xf>
    <xf numFmtId="42" fontId="26" fillId="0" borderId="2" xfId="2" applyNumberFormat="1" applyFont="1" applyFill="1" applyBorder="1" applyAlignment="1">
      <alignment horizontal="center" vertical="center" wrapText="1"/>
    </xf>
    <xf numFmtId="0" fontId="26" fillId="0" borderId="0" xfId="0" applyFont="1" applyAlignment="1">
      <alignment wrapText="1"/>
    </xf>
    <xf numFmtId="3" fontId="26" fillId="0" borderId="0" xfId="0" applyNumberFormat="1" applyFont="1"/>
    <xf numFmtId="0" fontId="25" fillId="0" borderId="1" xfId="0" applyFont="1" applyBorder="1" applyAlignment="1">
      <alignment horizontal="center" vertical="center" wrapText="1"/>
    </xf>
    <xf numFmtId="17" fontId="28" fillId="0" borderId="1" xfId="0" applyNumberFormat="1" applyFont="1" applyBorder="1" applyAlignment="1">
      <alignment horizontal="center" vertical="center" wrapText="1"/>
    </xf>
    <xf numFmtId="0" fontId="25" fillId="0" borderId="10" xfId="0" applyFont="1" applyBorder="1" applyAlignment="1">
      <alignment horizontal="center" vertical="center" wrapText="1"/>
    </xf>
    <xf numFmtId="17" fontId="28" fillId="0" borderId="10" xfId="0" applyNumberFormat="1" applyFont="1" applyBorder="1" applyAlignment="1">
      <alignment horizontal="center" vertical="center" wrapText="1"/>
    </xf>
    <xf numFmtId="3" fontId="29" fillId="0" borderId="2" xfId="0" applyNumberFormat="1" applyFont="1" applyBorder="1" applyAlignment="1">
      <alignment horizontal="center" vertical="center" wrapText="1"/>
    </xf>
    <xf numFmtId="0" fontId="27" fillId="0" borderId="2" xfId="0" applyFont="1" applyBorder="1" applyAlignment="1">
      <alignment horizontal="center" vertical="center" textRotation="90" wrapText="1"/>
    </xf>
    <xf numFmtId="0" fontId="26" fillId="0" borderId="2" xfId="0" applyFont="1" applyBorder="1" applyAlignment="1">
      <alignment horizontal="center" vertical="center" wrapText="1"/>
    </xf>
    <xf numFmtId="0" fontId="12" fillId="0" borderId="0" xfId="0" applyFont="1"/>
    <xf numFmtId="17" fontId="28" fillId="0" borderId="4" xfId="0" applyNumberFormat="1" applyFont="1" applyBorder="1" applyAlignment="1">
      <alignment horizontal="center" vertical="center" wrapText="1"/>
    </xf>
    <xf numFmtId="0" fontId="25" fillId="0" borderId="4" xfId="0" applyFont="1" applyBorder="1" applyAlignment="1">
      <alignment horizontal="center" vertical="center" wrapText="1"/>
    </xf>
    <xf numFmtId="0" fontId="25" fillId="0" borderId="2" xfId="0" applyFont="1" applyBorder="1" applyAlignment="1">
      <alignment horizontal="center" vertical="center" wrapText="1"/>
    </xf>
    <xf numFmtId="3" fontId="28" fillId="0" borderId="2" xfId="0" applyNumberFormat="1" applyFont="1" applyBorder="1" applyAlignment="1">
      <alignment horizontal="center" vertical="center" wrapText="1"/>
    </xf>
    <xf numFmtId="17" fontId="28" fillId="0" borderId="2" xfId="0" applyNumberFormat="1" applyFont="1" applyBorder="1" applyAlignment="1">
      <alignment horizontal="center" vertical="center" wrapText="1"/>
    </xf>
    <xf numFmtId="167" fontId="26" fillId="0" borderId="2" xfId="0" applyNumberFormat="1" applyFont="1" applyBorder="1" applyAlignment="1">
      <alignment horizontal="center" vertical="center"/>
    </xf>
    <xf numFmtId="0" fontId="0" fillId="0" borderId="2" xfId="0" applyBorder="1" applyAlignment="1">
      <alignment horizontal="center" vertical="center" wrapText="1"/>
    </xf>
    <xf numFmtId="0" fontId="26" fillId="0" borderId="16" xfId="0" applyFont="1" applyBorder="1" applyAlignment="1">
      <alignment horizontal="center" vertical="center" wrapText="1"/>
    </xf>
    <xf numFmtId="0" fontId="27" fillId="0" borderId="16" xfId="0" applyFont="1" applyBorder="1" applyAlignment="1">
      <alignment horizontal="center" vertical="center" textRotation="90" wrapText="1"/>
    </xf>
    <xf numFmtId="0" fontId="0" fillId="0" borderId="16" xfId="0" applyBorder="1" applyAlignment="1">
      <alignment horizontal="center" vertical="center" wrapText="1"/>
    </xf>
    <xf numFmtId="0" fontId="25" fillId="0" borderId="16" xfId="0" applyFont="1" applyBorder="1" applyAlignment="1">
      <alignment horizontal="center" vertical="center" wrapText="1"/>
    </xf>
    <xf numFmtId="3" fontId="28" fillId="0" borderId="16" xfId="0" applyNumberFormat="1" applyFont="1" applyBorder="1" applyAlignment="1">
      <alignment horizontal="center" vertical="center" wrapText="1"/>
    </xf>
    <xf numFmtId="166" fontId="29" fillId="0" borderId="16" xfId="0" applyNumberFormat="1" applyFont="1" applyBorder="1" applyAlignment="1">
      <alignment horizontal="center" vertical="center" wrapText="1"/>
    </xf>
    <xf numFmtId="17" fontId="28"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0" fontId="25" fillId="0" borderId="11" xfId="0" applyFont="1" applyBorder="1" applyAlignment="1">
      <alignment horizontal="center" vertical="center" wrapText="1"/>
    </xf>
    <xf numFmtId="17" fontId="28" fillId="0" borderId="11" xfId="0" applyNumberFormat="1" applyFont="1" applyBorder="1" applyAlignment="1">
      <alignment horizontal="center" vertical="center" wrapText="1"/>
    </xf>
    <xf numFmtId="0" fontId="26" fillId="0" borderId="11" xfId="0" applyFont="1" applyBorder="1" applyAlignment="1">
      <alignment horizontal="center" vertical="center" wrapText="1"/>
    </xf>
    <xf numFmtId="3" fontId="27" fillId="0" borderId="4" xfId="0" applyNumberFormat="1" applyFont="1" applyBorder="1" applyAlignment="1">
      <alignment horizontal="center" vertical="center" wrapText="1"/>
    </xf>
    <xf numFmtId="0" fontId="27" fillId="0" borderId="11" xfId="0" applyFont="1" applyBorder="1" applyAlignment="1">
      <alignment horizontal="center" vertical="center" textRotation="90" wrapText="1"/>
    </xf>
    <xf numFmtId="0" fontId="18" fillId="0" borderId="11" xfId="0" applyFont="1" applyBorder="1" applyAlignment="1">
      <alignment horizontal="center" vertical="center" wrapText="1"/>
    </xf>
    <xf numFmtId="3" fontId="28" fillId="0" borderId="11" xfId="0" applyNumberFormat="1" applyFont="1" applyBorder="1" applyAlignment="1">
      <alignment horizontal="center" vertical="center" wrapText="1"/>
    </xf>
    <xf numFmtId="167" fontId="26" fillId="0" borderId="11" xfId="0" applyNumberFormat="1" applyFont="1" applyBorder="1" applyAlignment="1">
      <alignment horizontal="center" vertical="center"/>
    </xf>
    <xf numFmtId="42" fontId="26" fillId="0" borderId="11" xfId="2" applyNumberFormat="1" applyFont="1" applyFill="1" applyBorder="1" applyAlignment="1">
      <alignment horizontal="center" vertical="center" wrapText="1"/>
    </xf>
    <xf numFmtId="0" fontId="26" fillId="0" borderId="15"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1" xfId="0" applyFont="1" applyBorder="1" applyAlignment="1">
      <alignment horizontal="center" vertical="center" wrapText="1"/>
    </xf>
    <xf numFmtId="167" fontId="26" fillId="0" borderId="16" xfId="0" applyNumberFormat="1" applyFont="1" applyBorder="1" applyAlignment="1">
      <alignment horizontal="center" vertical="center" wrapText="1"/>
    </xf>
    <xf numFmtId="164" fontId="12" fillId="0" borderId="4" xfId="1" applyNumberFormat="1" applyFont="1" applyBorder="1" applyAlignment="1">
      <alignment horizontal="center" vertical="center" wrapText="1"/>
    </xf>
    <xf numFmtId="0" fontId="14" fillId="2" borderId="4" xfId="0" applyFont="1" applyFill="1" applyBorder="1" applyAlignment="1">
      <alignment horizontal="center" vertical="center" wrapText="1"/>
    </xf>
    <xf numFmtId="164" fontId="14" fillId="0" borderId="4" xfId="1" applyNumberFormat="1" applyFont="1" applyBorder="1" applyAlignment="1">
      <alignment horizontal="center" vertical="center" wrapText="1"/>
    </xf>
    <xf numFmtId="0" fontId="34" fillId="0" borderId="2"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0" xfId="0" applyFont="1" applyBorder="1" applyAlignment="1">
      <alignment horizontal="center" vertical="center" wrapText="1"/>
    </xf>
    <xf numFmtId="10" fontId="27" fillId="0" borderId="4" xfId="3" applyNumberFormat="1" applyFont="1" applyBorder="1" applyAlignment="1">
      <alignment horizontal="center" vertical="center"/>
    </xf>
    <xf numFmtId="10" fontId="27" fillId="0" borderId="1" xfId="3" applyNumberFormat="1" applyFont="1" applyBorder="1" applyAlignment="1">
      <alignment horizontal="center" vertical="center"/>
    </xf>
    <xf numFmtId="10" fontId="27" fillId="2" borderId="10" xfId="3" applyNumberFormat="1" applyFont="1" applyFill="1" applyBorder="1" applyAlignment="1">
      <alignment horizontal="center" vertical="center" wrapText="1"/>
    </xf>
    <xf numFmtId="3" fontId="29" fillId="0" borderId="4" xfId="0" applyNumberFormat="1" applyFont="1" applyBorder="1" applyAlignment="1">
      <alignment horizontal="center" vertical="center" wrapText="1"/>
    </xf>
    <xf numFmtId="3" fontId="29" fillId="0" borderId="1" xfId="0" applyNumberFormat="1" applyFont="1" applyBorder="1" applyAlignment="1">
      <alignment horizontal="center" vertical="center" wrapText="1"/>
    </xf>
    <xf numFmtId="3" fontId="29" fillId="0" borderId="10" xfId="0" applyNumberFormat="1" applyFont="1" applyBorder="1" applyAlignment="1">
      <alignment horizontal="center" vertical="center" wrapText="1"/>
    </xf>
    <xf numFmtId="3" fontId="29" fillId="0" borderId="11" xfId="0" applyNumberFormat="1" applyFont="1" applyBorder="1" applyAlignment="1">
      <alignment horizontal="center" vertical="center" wrapText="1"/>
    </xf>
    <xf numFmtId="9" fontId="29" fillId="0" borderId="11" xfId="3" applyFont="1" applyBorder="1" applyAlignment="1">
      <alignment horizontal="center" vertical="center" wrapText="1"/>
    </xf>
    <xf numFmtId="0" fontId="27" fillId="0" borderId="16"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2" xfId="0" applyFont="1" applyBorder="1" applyAlignment="1">
      <alignment horizontal="center" vertical="center" wrapText="1"/>
    </xf>
    <xf numFmtId="0" fontId="39" fillId="0" borderId="0" xfId="0" applyFont="1" applyAlignment="1">
      <alignment horizontal="right" vertical="center"/>
    </xf>
    <xf numFmtId="0" fontId="40" fillId="0" borderId="0" xfId="0" applyFont="1" applyAlignment="1">
      <alignment vertical="top"/>
    </xf>
    <xf numFmtId="3" fontId="27" fillId="0" borderId="1" xfId="0" applyNumberFormat="1" applyFont="1" applyBorder="1" applyAlignment="1">
      <alignment horizontal="center" vertical="center" wrapText="1"/>
    </xf>
    <xf numFmtId="0" fontId="27" fillId="0" borderId="4" xfId="0" applyFont="1" applyBorder="1" applyAlignment="1">
      <alignment horizontal="center" vertical="center" textRotation="90" wrapText="1"/>
    </xf>
    <xf numFmtId="0" fontId="26" fillId="0" borderId="4" xfId="0" applyFont="1" applyBorder="1" applyAlignment="1">
      <alignment horizontal="center" vertical="center" wrapText="1"/>
    </xf>
    <xf numFmtId="0" fontId="26" fillId="0" borderId="8" xfId="0" applyFont="1" applyBorder="1" applyAlignment="1">
      <alignment horizontal="center" vertical="center" wrapText="1"/>
    </xf>
    <xf numFmtId="3" fontId="27" fillId="0" borderId="8" xfId="0" applyNumberFormat="1" applyFont="1" applyBorder="1" applyAlignment="1">
      <alignment horizontal="center" vertical="center" wrapText="1"/>
    </xf>
    <xf numFmtId="166" fontId="29" fillId="0" borderId="8" xfId="0" applyNumberFormat="1" applyFont="1" applyBorder="1" applyAlignment="1">
      <alignment horizontal="center" vertical="center" wrapText="1"/>
    </xf>
    <xf numFmtId="168" fontId="27" fillId="0" borderId="8" xfId="3" applyNumberFormat="1" applyFont="1" applyBorder="1" applyAlignment="1">
      <alignment horizontal="center" vertical="center" wrapText="1"/>
    </xf>
    <xf numFmtId="168" fontId="27" fillId="0" borderId="0" xfId="3" applyNumberFormat="1" applyFont="1"/>
    <xf numFmtId="168" fontId="39" fillId="0" borderId="0" xfId="3" applyNumberFormat="1" applyFont="1" applyAlignment="1">
      <alignment horizontal="right" vertical="center"/>
    </xf>
    <xf numFmtId="10" fontId="27" fillId="0" borderId="0" xfId="3" applyNumberFormat="1" applyFont="1"/>
    <xf numFmtId="10" fontId="34" fillId="3" borderId="2" xfId="3" applyNumberFormat="1" applyFont="1" applyFill="1" applyBorder="1" applyAlignment="1">
      <alignment horizontal="center" vertical="center"/>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8" fillId="0" borderId="4" xfId="0" applyFont="1" applyBorder="1" applyAlignment="1">
      <alignment horizontal="center" vertical="center" wrapText="1"/>
    </xf>
    <xf numFmtId="164" fontId="8" fillId="0" borderId="4" xfId="1" applyNumberFormat="1" applyFont="1" applyBorder="1" applyAlignment="1">
      <alignment horizontal="center" vertical="center" wrapText="1"/>
    </xf>
    <xf numFmtId="0" fontId="34" fillId="0" borderId="4" xfId="0" applyFont="1" applyBorder="1" applyAlignment="1">
      <alignment horizontal="center" vertical="center" wrapText="1"/>
    </xf>
    <xf numFmtId="168" fontId="27" fillId="0" borderId="4" xfId="3" applyNumberFormat="1" applyFont="1" applyBorder="1" applyAlignment="1">
      <alignment horizontal="center" vertical="center" wrapText="1"/>
    </xf>
    <xf numFmtId="0" fontId="26" fillId="0" borderId="39" xfId="0" applyFont="1" applyBorder="1" applyAlignment="1">
      <alignment horizontal="center" vertical="center" wrapText="1"/>
    </xf>
    <xf numFmtId="0" fontId="34" fillId="0" borderId="8" xfId="0" applyFont="1" applyBorder="1" applyAlignment="1">
      <alignment horizontal="center" vertical="center" wrapText="1"/>
    </xf>
    <xf numFmtId="168" fontId="29" fillId="0" borderId="1" xfId="3" applyNumberFormat="1" applyFont="1" applyBorder="1" applyAlignment="1">
      <alignment horizontal="center" vertical="center" wrapText="1"/>
    </xf>
    <xf numFmtId="168" fontId="39" fillId="0" borderId="0" xfId="0" applyNumberFormat="1" applyFont="1" applyAlignment="1">
      <alignment horizontal="right" vertical="center"/>
    </xf>
    <xf numFmtId="0" fontId="27"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15" xfId="0" applyFont="1" applyBorder="1" applyAlignment="1">
      <alignment horizontal="center" vertical="center" wrapText="1"/>
    </xf>
    <xf numFmtId="0" fontId="24" fillId="4" borderId="8" xfId="0" applyFont="1" applyFill="1" applyBorder="1" applyAlignment="1">
      <alignment horizontal="center" vertical="center" wrapText="1"/>
    </xf>
    <xf numFmtId="164" fontId="12" fillId="0" borderId="1" xfId="1" applyNumberFormat="1" applyFont="1" applyBorder="1" applyAlignment="1">
      <alignment horizontal="center" vertical="center" wrapText="1"/>
    </xf>
    <xf numFmtId="0" fontId="14" fillId="0" borderId="1" xfId="0" applyFont="1" applyBorder="1" applyAlignment="1">
      <alignment horizontal="center" vertical="center" wrapText="1"/>
    </xf>
    <xf numFmtId="0" fontId="9" fillId="0" borderId="1" xfId="0" applyFont="1" applyBorder="1" applyAlignment="1">
      <alignment horizontal="center" vertical="center" wrapText="1"/>
    </xf>
    <xf numFmtId="164" fontId="14" fillId="0" borderId="8" xfId="1" applyNumberFormat="1" applyFont="1" applyBorder="1" applyAlignment="1">
      <alignment horizontal="center" vertical="center" wrapText="1"/>
    </xf>
    <xf numFmtId="164" fontId="12" fillId="0" borderId="8" xfId="1" applyNumberFormat="1" applyFont="1" applyBorder="1" applyAlignment="1">
      <alignment horizontal="center" vertical="center" wrapText="1"/>
    </xf>
    <xf numFmtId="0" fontId="14" fillId="0" borderId="8" xfId="0" applyFont="1" applyBorder="1" applyAlignment="1">
      <alignment horizontal="center" vertical="center" wrapText="1"/>
    </xf>
    <xf numFmtId="164" fontId="8" fillId="0" borderId="1" xfId="1" applyNumberFormat="1" applyFont="1" applyBorder="1" applyAlignment="1">
      <alignment horizontal="center" vertical="center" wrapText="1"/>
    </xf>
    <xf numFmtId="9" fontId="27" fillId="0" borderId="4"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26" fillId="0" borderId="29" xfId="0" applyFont="1" applyBorder="1" applyAlignment="1">
      <alignment horizontal="center" vertical="center" textRotation="90" wrapText="1"/>
    </xf>
    <xf numFmtId="0" fontId="26" fillId="0" borderId="46" xfId="0" applyFont="1" applyBorder="1" applyAlignment="1">
      <alignment horizontal="center" vertical="center" textRotation="90" wrapText="1"/>
    </xf>
    <xf numFmtId="0" fontId="26" fillId="0" borderId="40" xfId="0" applyFont="1" applyBorder="1" applyAlignment="1">
      <alignment horizontal="center" vertical="center" textRotation="90" wrapText="1"/>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41" xfId="0" applyFont="1" applyBorder="1" applyAlignment="1">
      <alignment horizontal="center" vertical="center"/>
    </xf>
    <xf numFmtId="0" fontId="27" fillId="0" borderId="6" xfId="0" applyFont="1" applyBorder="1" applyAlignment="1">
      <alignment horizontal="center" vertical="center"/>
    </xf>
    <xf numFmtId="167" fontId="27" fillId="0" borderId="47" xfId="0" applyNumberFormat="1" applyFont="1" applyBorder="1" applyAlignment="1">
      <alignment horizontal="center" vertical="center"/>
    </xf>
    <xf numFmtId="42" fontId="27" fillId="0" borderId="1" xfId="2" applyNumberFormat="1" applyFont="1" applyFill="1" applyBorder="1" applyAlignment="1">
      <alignment horizontal="center" vertical="center" wrapText="1"/>
    </xf>
    <xf numFmtId="0" fontId="27" fillId="0" borderId="1" xfId="0" applyFont="1" applyBorder="1" applyAlignment="1">
      <alignment horizontal="center" vertical="center" wrapText="1"/>
    </xf>
    <xf numFmtId="167" fontId="27" fillId="0" borderId="7" xfId="0" applyNumberFormat="1" applyFont="1" applyBorder="1" applyAlignment="1">
      <alignment horizontal="center" vertical="center"/>
    </xf>
    <xf numFmtId="0" fontId="27" fillId="0" borderId="48" xfId="0" applyFont="1" applyBorder="1" applyAlignment="1">
      <alignment horizontal="center" vertical="center" wrapText="1"/>
    </xf>
    <xf numFmtId="164" fontId="27" fillId="0" borderId="4" xfId="1" applyNumberFormat="1" applyFont="1" applyBorder="1" applyAlignment="1">
      <alignment horizontal="center" vertical="center" wrapText="1"/>
    </xf>
    <xf numFmtId="0" fontId="27" fillId="0" borderId="8" xfId="0" applyFont="1" applyBorder="1" applyAlignment="1">
      <alignment horizontal="center" vertical="center" wrapText="1"/>
    </xf>
    <xf numFmtId="164" fontId="27" fillId="0" borderId="1" xfId="1" applyNumberFormat="1" applyFont="1" applyBorder="1" applyAlignment="1">
      <alignment horizontal="center" vertical="center" wrapText="1"/>
    </xf>
    <xf numFmtId="164" fontId="27" fillId="0" borderId="8" xfId="1" applyNumberFormat="1" applyFont="1" applyBorder="1" applyAlignment="1">
      <alignment horizontal="center" vertical="center" wrapText="1"/>
    </xf>
    <xf numFmtId="164" fontId="27" fillId="0" borderId="2" xfId="1" applyNumberFormat="1" applyFont="1" applyBorder="1" applyAlignment="1">
      <alignment horizontal="center" vertical="center" wrapText="1"/>
    </xf>
    <xf numFmtId="168" fontId="27" fillId="6" borderId="4" xfId="3" applyNumberFormat="1" applyFont="1" applyFill="1" applyBorder="1" applyAlignment="1">
      <alignment horizontal="center" vertical="center" wrapText="1"/>
    </xf>
    <xf numFmtId="9" fontId="27" fillId="6" borderId="5" xfId="0" applyNumberFormat="1" applyFont="1" applyFill="1" applyBorder="1" applyAlignment="1">
      <alignment horizontal="center" vertical="center" wrapText="1"/>
    </xf>
    <xf numFmtId="0" fontId="29" fillId="0" borderId="1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3" xfId="0" applyFont="1" applyBorder="1" applyAlignment="1">
      <alignment horizontal="center" vertical="center" wrapText="1"/>
    </xf>
    <xf numFmtId="164" fontId="14" fillId="2" borderId="4" xfId="1" applyNumberFormat="1" applyFont="1" applyFill="1" applyBorder="1" applyAlignment="1">
      <alignment horizontal="center" vertical="center" wrapText="1"/>
    </xf>
    <xf numFmtId="164" fontId="12" fillId="2" borderId="4" xfId="1" applyNumberFormat="1" applyFont="1" applyFill="1" applyBorder="1" applyAlignment="1">
      <alignment horizontal="center" vertical="center" wrapText="1"/>
    </xf>
    <xf numFmtId="3" fontId="27" fillId="2" borderId="4" xfId="0" applyNumberFormat="1"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37" fillId="2" borderId="4" xfId="0" applyFont="1" applyFill="1" applyBorder="1" applyAlignment="1">
      <alignment horizontal="center" vertical="center" wrapText="1"/>
    </xf>
    <xf numFmtId="9" fontId="0" fillId="0" borderId="0" xfId="3" applyFont="1"/>
    <xf numFmtId="0" fontId="24" fillId="4" borderId="10" xfId="0" applyFont="1" applyFill="1" applyBorder="1" applyAlignment="1">
      <alignment horizontal="center" vertical="center" wrapText="1"/>
    </xf>
    <xf numFmtId="164" fontId="14" fillId="2" borderId="10" xfId="1" applyNumberFormat="1" applyFont="1" applyFill="1" applyBorder="1" applyAlignment="1">
      <alignment horizontal="center" vertical="center" wrapText="1"/>
    </xf>
    <xf numFmtId="164" fontId="12" fillId="2" borderId="10" xfId="1" applyNumberFormat="1" applyFont="1" applyFill="1" applyBorder="1" applyAlignment="1">
      <alignment horizontal="center" vertical="center" wrapText="1"/>
    </xf>
    <xf numFmtId="0" fontId="7" fillId="2" borderId="10" xfId="0" applyFont="1" applyFill="1" applyBorder="1" applyAlignment="1">
      <alignment horizontal="center" vertical="center" wrapText="1"/>
    </xf>
    <xf numFmtId="0" fontId="37" fillId="2" borderId="10"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9" fillId="2" borderId="10" xfId="0" applyFont="1" applyFill="1" applyBorder="1" applyAlignment="1">
      <alignment horizontal="center" vertical="center" wrapText="1"/>
    </xf>
    <xf numFmtId="3" fontId="27" fillId="2" borderId="10" xfId="0" applyNumberFormat="1" applyFont="1" applyFill="1" applyBorder="1" applyAlignment="1">
      <alignment horizontal="center" vertical="center" wrapText="1"/>
    </xf>
    <xf numFmtId="166" fontId="29" fillId="2" borderId="1" xfId="0" applyNumberFormat="1" applyFont="1" applyFill="1" applyBorder="1" applyAlignment="1">
      <alignment horizontal="center" vertical="center" wrapText="1"/>
    </xf>
    <xf numFmtId="168" fontId="27" fillId="2" borderId="10" xfId="3" applyNumberFormat="1" applyFont="1" applyFill="1" applyBorder="1" applyAlignment="1">
      <alignment horizontal="center" vertical="center" wrapText="1"/>
    </xf>
    <xf numFmtId="0" fontId="5" fillId="0" borderId="34" xfId="0" applyFont="1" applyBorder="1" applyAlignment="1">
      <alignment vertical="top" wrapText="1"/>
    </xf>
    <xf numFmtId="167" fontId="26" fillId="0" borderId="18" xfId="0" applyNumberFormat="1" applyFont="1" applyBorder="1" applyAlignment="1">
      <alignment horizontal="center" vertical="center"/>
    </xf>
    <xf numFmtId="9" fontId="27" fillId="2" borderId="8" xfId="3" applyFont="1" applyFill="1" applyBorder="1" applyAlignment="1">
      <alignment horizontal="center" vertical="center" wrapText="1"/>
    </xf>
    <xf numFmtId="9" fontId="27" fillId="0" borderId="2" xfId="3" applyFont="1" applyBorder="1" applyAlignment="1">
      <alignment horizontal="center" vertical="center"/>
    </xf>
    <xf numFmtId="10" fontId="27" fillId="0" borderId="4" xfId="3" applyNumberFormat="1" applyFont="1" applyBorder="1" applyAlignment="1">
      <alignment horizontal="center" vertical="center" wrapText="1"/>
    </xf>
    <xf numFmtId="0" fontId="14" fillId="2" borderId="20" xfId="0" applyFont="1" applyFill="1" applyBorder="1" applyAlignment="1">
      <alignment horizontal="center" vertical="center" wrapText="1"/>
    </xf>
    <xf numFmtId="164" fontId="14" fillId="0" borderId="11" xfId="1" applyNumberFormat="1" applyFont="1" applyBorder="1" applyAlignment="1">
      <alignment horizontal="center" vertical="center" wrapText="1"/>
    </xf>
    <xf numFmtId="164" fontId="12" fillId="0" borderId="11" xfId="1" applyNumberFormat="1" applyFont="1" applyBorder="1" applyAlignment="1">
      <alignment horizontal="center" vertical="center" wrapText="1"/>
    </xf>
    <xf numFmtId="3" fontId="25" fillId="0" borderId="11" xfId="0" applyNumberFormat="1" applyFont="1" applyBorder="1" applyAlignment="1">
      <alignment horizontal="center" vertical="center" wrapText="1"/>
    </xf>
    <xf numFmtId="0" fontId="14" fillId="0" borderId="11" xfId="0" applyFont="1" applyBorder="1" applyAlignment="1">
      <alignment horizontal="center" vertical="center" wrapText="1"/>
    </xf>
    <xf numFmtId="0" fontId="34" fillId="2" borderId="11" xfId="0" applyFont="1" applyFill="1" applyBorder="1" applyAlignment="1">
      <alignment horizontal="center" vertical="center" wrapText="1"/>
    </xf>
    <xf numFmtId="3" fontId="27" fillId="0" borderId="10" xfId="0" applyNumberFormat="1" applyFont="1" applyBorder="1" applyAlignment="1">
      <alignment horizontal="center" vertical="center" wrapText="1"/>
    </xf>
    <xf numFmtId="168" fontId="27" fillId="0" borderId="10" xfId="3" applyNumberFormat="1" applyFont="1" applyBorder="1" applyAlignment="1">
      <alignment horizontal="center" vertical="center" wrapText="1"/>
    </xf>
    <xf numFmtId="164" fontId="14" fillId="0" borderId="10" xfId="1" applyNumberFormat="1" applyFont="1" applyBorder="1" applyAlignment="1">
      <alignment horizontal="center" vertical="center" wrapText="1"/>
    </xf>
    <xf numFmtId="164" fontId="12" fillId="0" borderId="10" xfId="1" applyNumberFormat="1" applyFont="1" applyBorder="1" applyAlignment="1">
      <alignment horizontal="center" vertical="center" wrapText="1"/>
    </xf>
    <xf numFmtId="0" fontId="14" fillId="0" borderId="10" xfId="0" applyFont="1" applyBorder="1" applyAlignment="1">
      <alignment horizontal="center" vertical="center" wrapText="1"/>
    </xf>
    <xf numFmtId="0" fontId="0" fillId="0" borderId="11" xfId="0" applyBorder="1"/>
    <xf numFmtId="0" fontId="8" fillId="2" borderId="20" xfId="0" applyFont="1" applyFill="1" applyBorder="1" applyAlignment="1">
      <alignment horizontal="center" vertical="center" wrapText="1"/>
    </xf>
    <xf numFmtId="164" fontId="6" fillId="0" borderId="11" xfId="1" applyNumberFormat="1" applyFont="1" applyBorder="1" applyAlignment="1">
      <alignment horizontal="center" vertical="center" wrapText="1"/>
    </xf>
    <xf numFmtId="164" fontId="8" fillId="0" borderId="11" xfId="1" applyNumberFormat="1" applyFont="1" applyBorder="1" applyAlignment="1">
      <alignment horizontal="center" vertical="center" wrapText="1"/>
    </xf>
    <xf numFmtId="164" fontId="27" fillId="0" borderId="11" xfId="1" applyNumberFormat="1" applyFont="1" applyBorder="1" applyAlignment="1">
      <alignment horizontal="center" vertical="center" wrapText="1"/>
    </xf>
    <xf numFmtId="0" fontId="6" fillId="0" borderId="11" xfId="0" applyFont="1" applyBorder="1" applyAlignment="1">
      <alignment horizontal="center" vertical="center" wrapText="1"/>
    </xf>
    <xf numFmtId="0" fontId="34" fillId="2" borderId="11" xfId="0" applyFont="1" applyFill="1" applyBorder="1" applyAlignment="1">
      <alignment vertical="center" wrapText="1"/>
    </xf>
    <xf numFmtId="0" fontId="9" fillId="2" borderId="11" xfId="0" applyFont="1" applyFill="1" applyBorder="1" applyAlignment="1">
      <alignment horizontal="center" vertical="center" wrapText="1"/>
    </xf>
    <xf numFmtId="10" fontId="27" fillId="6" borderId="21" xfId="0" applyNumberFormat="1" applyFont="1" applyFill="1" applyBorder="1" applyAlignment="1">
      <alignment horizontal="center" vertical="center"/>
    </xf>
    <xf numFmtId="3" fontId="27" fillId="0" borderId="11" xfId="0" applyNumberFormat="1" applyFont="1" applyBorder="1" applyAlignment="1">
      <alignment horizontal="center" vertical="center" wrapText="1"/>
    </xf>
    <xf numFmtId="168" fontId="27" fillId="0" borderId="11" xfId="3" applyNumberFormat="1" applyFont="1" applyBorder="1" applyAlignment="1">
      <alignment horizontal="center" vertical="center" wrapText="1"/>
    </xf>
    <xf numFmtId="164" fontId="14" fillId="0" borderId="2" xfId="1" applyNumberFormat="1" applyFont="1" applyBorder="1" applyAlignment="1">
      <alignment horizontal="center" vertical="center" wrapText="1"/>
    </xf>
    <xf numFmtId="164" fontId="12" fillId="0" borderId="2" xfId="1" applyNumberFormat="1" applyFont="1" applyBorder="1" applyAlignment="1">
      <alignment horizontal="center" vertical="center" wrapText="1"/>
    </xf>
    <xf numFmtId="0" fontId="14" fillId="0" borderId="2" xfId="0" applyFont="1" applyBorder="1" applyAlignment="1">
      <alignment horizontal="center" vertical="center" wrapText="1"/>
    </xf>
    <xf numFmtId="166" fontId="27" fillId="0" borderId="11" xfId="0" applyNumberFormat="1" applyFont="1" applyBorder="1" applyAlignment="1">
      <alignment horizontal="center" vertical="center" wrapText="1"/>
    </xf>
    <xf numFmtId="9" fontId="27" fillId="6" borderId="21" xfId="0" applyNumberFormat="1" applyFont="1" applyFill="1" applyBorder="1" applyAlignment="1">
      <alignment horizontal="center" vertical="center"/>
    </xf>
    <xf numFmtId="10" fontId="27" fillId="0" borderId="8" xfId="3" applyNumberFormat="1" applyFont="1" applyBorder="1" applyAlignment="1">
      <alignment horizontal="center" vertical="center" wrapText="1"/>
    </xf>
    <xf numFmtId="164" fontId="4" fillId="0" borderId="4" xfId="1" applyNumberFormat="1" applyFont="1" applyBorder="1" applyAlignment="1">
      <alignment horizontal="center" vertical="center" wrapText="1"/>
    </xf>
    <xf numFmtId="164" fontId="4" fillId="0" borderId="1" xfId="1" applyNumberFormat="1" applyFont="1" applyBorder="1" applyAlignment="1">
      <alignment horizontal="center" vertical="center" wrapText="1"/>
    </xf>
    <xf numFmtId="10" fontId="29" fillId="0" borderId="1" xfId="3" applyNumberFormat="1" applyFont="1" applyBorder="1" applyAlignment="1">
      <alignment horizontal="center" vertical="center" wrapText="1"/>
    </xf>
    <xf numFmtId="164" fontId="4" fillId="0" borderId="8" xfId="1" applyNumberFormat="1" applyFont="1" applyBorder="1" applyAlignment="1">
      <alignment horizontal="center" vertical="center" wrapText="1"/>
    </xf>
    <xf numFmtId="0" fontId="3" fillId="0" borderId="36" xfId="0" applyFont="1" applyBorder="1" applyAlignment="1">
      <alignment vertical="center" wrapText="1"/>
    </xf>
    <xf numFmtId="167" fontId="27" fillId="3" borderId="34" xfId="0" applyNumberFormat="1" applyFont="1" applyFill="1" applyBorder="1" applyAlignment="1">
      <alignment vertical="center"/>
    </xf>
    <xf numFmtId="0" fontId="2" fillId="0" borderId="49" xfId="0" applyFont="1" applyBorder="1" applyAlignment="1">
      <alignment horizontal="left" vertical="top" wrapText="1"/>
    </xf>
    <xf numFmtId="0" fontId="26" fillId="0" borderId="10" xfId="0" applyFont="1" applyBorder="1" applyAlignment="1">
      <alignment horizontal="center" vertical="center" wrapText="1"/>
    </xf>
    <xf numFmtId="10" fontId="27" fillId="0" borderId="8" xfId="3" applyNumberFormat="1" applyFont="1" applyFill="1" applyBorder="1" applyAlignment="1">
      <alignment horizontal="center" vertical="center" wrapText="1"/>
    </xf>
    <xf numFmtId="164" fontId="25" fillId="0" borderId="11" xfId="1" applyNumberFormat="1" applyFont="1" applyBorder="1" applyAlignment="1">
      <alignment horizontal="center" vertical="center" wrapText="1"/>
    </xf>
    <xf numFmtId="10" fontId="27" fillId="0" borderId="11" xfId="3" applyNumberFormat="1" applyFont="1" applyFill="1" applyBorder="1" applyAlignment="1">
      <alignment horizontal="center" vertical="center" wrapText="1"/>
    </xf>
    <xf numFmtId="0" fontId="34" fillId="0" borderId="11" xfId="0" applyFont="1" applyBorder="1" applyAlignment="1">
      <alignment horizontal="center" vertical="center" wrapText="1"/>
    </xf>
    <xf numFmtId="0" fontId="9" fillId="0" borderId="11" xfId="0" applyFont="1" applyBorder="1" applyAlignment="1">
      <alignment horizontal="center" vertical="center" wrapText="1"/>
    </xf>
    <xf numFmtId="10" fontId="27" fillId="6" borderId="11" xfId="3" applyNumberFormat="1" applyFont="1" applyFill="1" applyBorder="1" applyAlignment="1">
      <alignment horizontal="center" vertical="center" wrapText="1"/>
    </xf>
    <xf numFmtId="10" fontId="27" fillId="6" borderId="21" xfId="0" applyNumberFormat="1" applyFont="1" applyFill="1" applyBorder="1" applyAlignment="1">
      <alignment horizontal="center" vertical="center" wrapText="1"/>
    </xf>
    <xf numFmtId="0" fontId="26" fillId="0" borderId="20" xfId="0" applyFont="1" applyBorder="1" applyAlignment="1">
      <alignment horizontal="center" vertical="center" wrapText="1"/>
    </xf>
    <xf numFmtId="0" fontId="17" fillId="0" borderId="11" xfId="0" applyFont="1" applyBorder="1" applyAlignment="1">
      <alignment horizontal="center" vertical="center" wrapText="1"/>
    </xf>
    <xf numFmtId="0" fontId="26" fillId="0" borderId="9" xfId="0" applyFont="1" applyBorder="1" applyAlignment="1">
      <alignment horizontal="center" vertical="center" wrapText="1"/>
    </xf>
    <xf numFmtId="0" fontId="27" fillId="0" borderId="10" xfId="0" applyFont="1" applyBorder="1" applyAlignment="1">
      <alignment horizontal="center" vertical="center" wrapText="1"/>
    </xf>
    <xf numFmtId="164" fontId="7" fillId="0" borderId="10" xfId="1" applyNumberFormat="1" applyFont="1" applyBorder="1" applyAlignment="1">
      <alignment horizontal="center" vertical="center" wrapText="1"/>
    </xf>
    <xf numFmtId="164" fontId="8" fillId="0" borderId="10" xfId="1" applyNumberFormat="1" applyFont="1" applyBorder="1" applyAlignment="1">
      <alignment horizontal="center" vertical="center" wrapText="1"/>
    </xf>
    <xf numFmtId="164" fontId="27" fillId="0" borderId="10" xfId="1" applyNumberFormat="1" applyFont="1" applyBorder="1" applyAlignment="1">
      <alignment horizontal="center" vertical="center" wrapText="1"/>
    </xf>
    <xf numFmtId="3" fontId="8" fillId="0" borderId="10" xfId="0" applyNumberFormat="1" applyFont="1" applyBorder="1" applyAlignment="1">
      <alignment horizontal="center" vertical="center" wrapText="1"/>
    </xf>
    <xf numFmtId="0" fontId="34"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27" fillId="0" borderId="3" xfId="0" applyFont="1" applyBorder="1" applyAlignment="1">
      <alignment horizontal="center" vertical="center"/>
    </xf>
    <xf numFmtId="167" fontId="27" fillId="0" borderId="50" xfId="0" applyNumberFormat="1" applyFont="1" applyBorder="1" applyAlignment="1">
      <alignment horizontal="center" vertical="center"/>
    </xf>
    <xf numFmtId="42" fontId="27" fillId="0" borderId="4" xfId="2" applyNumberFormat="1" applyFont="1" applyFill="1" applyBorder="1" applyAlignment="1">
      <alignment horizontal="center" vertical="center" wrapText="1"/>
    </xf>
    <xf numFmtId="0" fontId="27" fillId="0" borderId="44" xfId="0" applyFont="1" applyBorder="1" applyAlignment="1">
      <alignment horizontal="center" vertical="center" wrapText="1"/>
    </xf>
    <xf numFmtId="167" fontId="27" fillId="0" borderId="5" xfId="0" applyNumberFormat="1" applyFont="1" applyBorder="1" applyAlignment="1">
      <alignment horizontal="center" vertical="center"/>
    </xf>
    <xf numFmtId="0" fontId="5" fillId="0" borderId="51" xfId="0" applyFont="1" applyBorder="1" applyAlignment="1">
      <alignment horizontal="left" vertical="top" wrapText="1"/>
    </xf>
    <xf numFmtId="0" fontId="2" fillId="0" borderId="52" xfId="0" applyFont="1" applyBorder="1" applyAlignment="1">
      <alignment horizontal="left" vertical="top" wrapText="1"/>
    </xf>
    <xf numFmtId="0" fontId="5" fillId="0" borderId="52" xfId="0" applyFont="1" applyBorder="1" applyAlignment="1">
      <alignment horizontal="left" vertical="center" wrapText="1"/>
    </xf>
    <xf numFmtId="167" fontId="26" fillId="0" borderId="15" xfId="0" applyNumberFormat="1" applyFont="1" applyBorder="1" applyAlignment="1">
      <alignment horizontal="center" vertical="center"/>
    </xf>
    <xf numFmtId="167" fontId="26" fillId="0" borderId="23" xfId="0" applyNumberFormat="1" applyFont="1" applyBorder="1" applyAlignment="1">
      <alignment horizontal="center" vertical="center"/>
    </xf>
    <xf numFmtId="0" fontId="1" fillId="0" borderId="25" xfId="0" applyFont="1" applyBorder="1" applyAlignment="1">
      <alignment horizontal="left" vertical="top" wrapText="1"/>
    </xf>
    <xf numFmtId="3" fontId="27" fillId="0" borderId="1" xfId="0" applyNumberFormat="1" applyFont="1" applyBorder="1" applyAlignment="1">
      <alignment horizontal="center" vertical="center" wrapText="1"/>
    </xf>
    <xf numFmtId="3" fontId="29" fillId="0" borderId="1" xfId="0" applyNumberFormat="1" applyFont="1" applyBorder="1" applyAlignment="1">
      <alignment horizontal="center" vertical="center" wrapText="1"/>
    </xf>
    <xf numFmtId="3" fontId="29" fillId="0" borderId="10" xfId="0" applyNumberFormat="1" applyFont="1" applyBorder="1" applyAlignment="1">
      <alignment horizontal="center" vertical="center" wrapText="1"/>
    </xf>
    <xf numFmtId="0" fontId="26" fillId="0" borderId="12" xfId="0" applyFont="1" applyBorder="1" applyAlignment="1">
      <alignment horizontal="center" vertical="center"/>
    </xf>
    <xf numFmtId="0" fontId="26" fillId="0" borderId="24" xfId="0" applyFont="1" applyBorder="1" applyAlignment="1">
      <alignment horizontal="center" vertical="center"/>
    </xf>
    <xf numFmtId="167" fontId="26" fillId="0" borderId="13" xfId="0" applyNumberFormat="1" applyFont="1" applyBorder="1" applyAlignment="1">
      <alignment horizontal="center" vertical="center"/>
    </xf>
    <xf numFmtId="167" fontId="26" fillId="0" borderId="17" xfId="0" applyNumberFormat="1" applyFont="1" applyBorder="1" applyAlignment="1">
      <alignment horizontal="center" vertical="center"/>
    </xf>
    <xf numFmtId="167" fontId="26" fillId="0" borderId="16" xfId="0" applyNumberFormat="1" applyFont="1" applyBorder="1" applyAlignment="1">
      <alignment horizontal="center" vertical="center"/>
    </xf>
    <xf numFmtId="42" fontId="26" fillId="0" borderId="13" xfId="2" applyNumberFormat="1" applyFont="1" applyFill="1" applyBorder="1" applyAlignment="1">
      <alignment horizontal="center" vertical="center" wrapText="1"/>
    </xf>
    <xf numFmtId="42" fontId="26" fillId="0" borderId="17" xfId="2" applyNumberFormat="1" applyFont="1" applyFill="1" applyBorder="1" applyAlignment="1">
      <alignment horizontal="center" vertical="center" wrapText="1"/>
    </xf>
    <xf numFmtId="42" fontId="26" fillId="0" borderId="16" xfId="2" applyNumberFormat="1" applyFont="1" applyFill="1" applyBorder="1" applyAlignment="1">
      <alignment horizontal="center" vertical="center" wrapText="1"/>
    </xf>
    <xf numFmtId="168" fontId="27" fillId="0" borderId="1" xfId="3" applyNumberFormat="1" applyFont="1" applyBorder="1" applyAlignment="1">
      <alignment horizontal="center" vertical="center" wrapText="1"/>
    </xf>
    <xf numFmtId="10" fontId="27" fillId="2" borderId="1" xfId="3" applyNumberFormat="1" applyFont="1" applyFill="1" applyBorder="1" applyAlignment="1">
      <alignment horizontal="center" vertical="center" wrapText="1"/>
    </xf>
    <xf numFmtId="0" fontId="35" fillId="0" borderId="43" xfId="0" applyFont="1" applyBorder="1" applyAlignment="1">
      <alignment horizontal="center" vertical="center"/>
    </xf>
    <xf numFmtId="0" fontId="7" fillId="0" borderId="42" xfId="0" applyFont="1" applyBorder="1" applyAlignment="1">
      <alignment horizontal="left" vertical="top"/>
    </xf>
    <xf numFmtId="0" fontId="7" fillId="0" borderId="34" xfId="0" applyFont="1" applyBorder="1" applyAlignment="1">
      <alignment horizontal="left" vertical="top"/>
    </xf>
    <xf numFmtId="0" fontId="1" fillId="0" borderId="33" xfId="0" applyFont="1" applyBorder="1" applyAlignment="1">
      <alignment horizontal="left" vertical="top" wrapText="1"/>
    </xf>
    <xf numFmtId="0" fontId="7" fillId="0" borderId="34" xfId="0" applyFont="1" applyBorder="1" applyAlignment="1">
      <alignment horizontal="left" vertical="top"/>
    </xf>
    <xf numFmtId="0" fontId="43" fillId="0" borderId="18" xfId="0" applyFont="1" applyBorder="1" applyAlignment="1">
      <alignment horizontal="left" vertical="center"/>
    </xf>
    <xf numFmtId="3" fontId="21" fillId="3" borderId="13" xfId="0" applyNumberFormat="1" applyFont="1" applyFill="1" applyBorder="1" applyAlignment="1">
      <alignment horizontal="center" vertical="center" wrapText="1"/>
    </xf>
    <xf numFmtId="3" fontId="21" fillId="3" borderId="16" xfId="0" applyNumberFormat="1"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31" xfId="0" applyFont="1" applyFill="1" applyBorder="1" applyAlignment="1">
      <alignment horizontal="center" vertical="center" wrapText="1"/>
    </xf>
    <xf numFmtId="167" fontId="26" fillId="0" borderId="13" xfId="0" applyNumberFormat="1" applyFont="1" applyBorder="1" applyAlignment="1">
      <alignment horizontal="center" vertical="center"/>
    </xf>
    <xf numFmtId="167" fontId="26" fillId="0" borderId="17" xfId="0" applyNumberFormat="1" applyFont="1" applyBorder="1" applyAlignment="1">
      <alignment horizontal="center" vertical="center"/>
    </xf>
    <xf numFmtId="167" fontId="26" fillId="0" borderId="16" xfId="0" applyNumberFormat="1" applyFont="1" applyBorder="1" applyAlignment="1">
      <alignment horizontal="center" vertical="center"/>
    </xf>
    <xf numFmtId="0" fontId="35" fillId="0" borderId="30" xfId="0" applyFont="1" applyBorder="1" applyAlignment="1">
      <alignment horizontal="center" vertical="center"/>
    </xf>
    <xf numFmtId="0" fontId="35" fillId="0" borderId="26" xfId="0" applyFont="1" applyBorder="1" applyAlignment="1">
      <alignment horizontal="center" vertical="center"/>
    </xf>
    <xf numFmtId="0" fontId="35" fillId="0" borderId="27" xfId="0" applyFont="1" applyBorder="1" applyAlignment="1">
      <alignment horizontal="center" vertical="center"/>
    </xf>
    <xf numFmtId="0" fontId="21" fillId="5" borderId="13" xfId="0" applyFont="1" applyFill="1" applyBorder="1" applyAlignment="1">
      <alignment horizontal="center" vertical="center" wrapText="1"/>
    </xf>
    <xf numFmtId="0" fontId="21" fillId="5" borderId="16" xfId="0" applyFont="1" applyFill="1" applyBorder="1" applyAlignment="1">
      <alignment horizontal="center" vertical="center" wrapText="1"/>
    </xf>
    <xf numFmtId="0" fontId="35" fillId="0" borderId="25" xfId="0" applyFont="1" applyBorder="1" applyAlignment="1">
      <alignment horizontal="center" vertical="center"/>
    </xf>
    <xf numFmtId="0" fontId="21" fillId="4" borderId="13" xfId="0" applyFont="1" applyFill="1" applyBorder="1" applyAlignment="1">
      <alignment horizontal="center" vertical="center" wrapText="1"/>
    </xf>
    <xf numFmtId="0" fontId="38" fillId="4" borderId="16" xfId="0" applyFont="1" applyFill="1" applyBorder="1" applyAlignment="1">
      <alignment horizontal="center" vertical="center" wrapText="1"/>
    </xf>
    <xf numFmtId="0" fontId="27" fillId="0" borderId="4" xfId="0" applyFont="1" applyBorder="1" applyAlignment="1">
      <alignment horizontal="center" vertical="center" textRotation="90" wrapText="1"/>
    </xf>
    <xf numFmtId="0" fontId="26" fillId="0" borderId="4" xfId="0" applyFont="1" applyBorder="1" applyAlignment="1">
      <alignment horizontal="center" vertical="center" wrapText="1"/>
    </xf>
    <xf numFmtId="0" fontId="26" fillId="0" borderId="10" xfId="0" applyFont="1" applyBorder="1" applyAlignment="1">
      <alignment horizontal="center" vertical="center" wrapText="1"/>
    </xf>
    <xf numFmtId="0" fontId="21" fillId="4" borderId="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11" fillId="0" borderId="3"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0" xfId="0" applyFont="1" applyBorder="1" applyAlignment="1">
      <alignment horizontal="center" vertical="center" wrapText="1"/>
    </xf>
    <xf numFmtId="0" fontId="26" fillId="0" borderId="1" xfId="0" applyFont="1" applyBorder="1" applyAlignment="1">
      <alignment horizontal="center" vertical="center" wrapText="1"/>
    </xf>
    <xf numFmtId="0" fontId="30" fillId="0" borderId="0" xfId="0" applyFont="1" applyAlignment="1">
      <alignment horizontal="center" vertical="center" wrapText="1"/>
    </xf>
    <xf numFmtId="0" fontId="21" fillId="4" borderId="16" xfId="0" applyFont="1" applyFill="1" applyBorder="1" applyAlignment="1">
      <alignment horizontal="center" vertical="center" wrapText="1"/>
    </xf>
    <xf numFmtId="3" fontId="21" fillId="5" borderId="13" xfId="0" applyNumberFormat="1" applyFont="1" applyFill="1" applyBorder="1" applyAlignment="1">
      <alignment horizontal="center" vertical="center" wrapText="1"/>
    </xf>
    <xf numFmtId="3" fontId="21" fillId="5" borderId="16" xfId="0" applyNumberFormat="1" applyFont="1" applyFill="1" applyBorder="1" applyAlignment="1">
      <alignment horizontal="center" vertical="center" wrapText="1"/>
    </xf>
    <xf numFmtId="3" fontId="25" fillId="0" borderId="4" xfId="0" applyNumberFormat="1" applyFont="1" applyBorder="1" applyAlignment="1">
      <alignment horizontal="center" vertical="center" wrapText="1"/>
    </xf>
    <xf numFmtId="3" fontId="25" fillId="0" borderId="1" xfId="0" applyNumberFormat="1" applyFont="1" applyBorder="1" applyAlignment="1">
      <alignment horizontal="center" vertical="center" wrapText="1"/>
    </xf>
    <xf numFmtId="3" fontId="25" fillId="0" borderId="8" xfId="0" applyNumberFormat="1" applyFont="1" applyBorder="1" applyAlignment="1">
      <alignment horizontal="center" vertical="center" wrapText="1"/>
    </xf>
    <xf numFmtId="10" fontId="27" fillId="0" borderId="4" xfId="3" applyNumberFormat="1" applyFont="1" applyBorder="1" applyAlignment="1">
      <alignment horizontal="center" vertical="center" wrapText="1"/>
    </xf>
    <xf numFmtId="10" fontId="27" fillId="0" borderId="1" xfId="3" applyNumberFormat="1" applyFont="1" applyBorder="1" applyAlignment="1">
      <alignment horizontal="center" vertical="center" wrapText="1"/>
    </xf>
    <xf numFmtId="10" fontId="27" fillId="2" borderId="1" xfId="3" applyNumberFormat="1" applyFont="1" applyFill="1" applyBorder="1" applyAlignment="1">
      <alignment horizontal="center" vertical="center" wrapText="1"/>
    </xf>
    <xf numFmtId="10" fontId="27" fillId="2" borderId="8" xfId="3" applyNumberFormat="1" applyFont="1" applyFill="1" applyBorder="1" applyAlignment="1">
      <alignment horizontal="center" vertical="center" wrapText="1"/>
    </xf>
    <xf numFmtId="3" fontId="27" fillId="0" borderId="4" xfId="0" applyNumberFormat="1" applyFont="1" applyBorder="1" applyAlignment="1">
      <alignment horizontal="center" vertical="center" wrapText="1"/>
    </xf>
    <xf numFmtId="3" fontId="27" fillId="0" borderId="1" xfId="0" applyNumberFormat="1" applyFont="1" applyBorder="1" applyAlignment="1">
      <alignment horizontal="center" vertical="center" wrapText="1"/>
    </xf>
    <xf numFmtId="3" fontId="27" fillId="2" borderId="1" xfId="0" applyNumberFormat="1" applyFont="1" applyFill="1" applyBorder="1" applyAlignment="1">
      <alignment horizontal="center" vertical="center" wrapText="1"/>
    </xf>
    <xf numFmtId="3" fontId="27" fillId="2" borderId="8" xfId="0" applyNumberFormat="1" applyFont="1" applyFill="1" applyBorder="1" applyAlignment="1">
      <alignment horizontal="center" vertical="center" wrapText="1"/>
    </xf>
    <xf numFmtId="10" fontId="27" fillId="6" borderId="4" xfId="3" applyNumberFormat="1" applyFont="1" applyFill="1" applyBorder="1" applyAlignment="1">
      <alignment horizontal="center" vertical="center" wrapText="1"/>
    </xf>
    <xf numFmtId="10" fontId="27" fillId="6" borderId="1" xfId="3" applyNumberFormat="1" applyFont="1" applyFill="1" applyBorder="1" applyAlignment="1">
      <alignment horizontal="center" vertical="center" wrapText="1"/>
    </xf>
    <xf numFmtId="10" fontId="27" fillId="6" borderId="8" xfId="3" applyNumberFormat="1" applyFont="1" applyFill="1" applyBorder="1" applyAlignment="1">
      <alignment horizontal="center" vertical="center" wrapText="1"/>
    </xf>
    <xf numFmtId="164" fontId="14" fillId="2" borderId="4" xfId="1" applyNumberFormat="1" applyFont="1" applyFill="1" applyBorder="1" applyAlignment="1">
      <alignment horizontal="center" vertical="center" wrapText="1"/>
    </xf>
    <xf numFmtId="164" fontId="18" fillId="2" borderId="1" xfId="1" applyNumberFormat="1" applyFont="1" applyFill="1" applyBorder="1" applyAlignment="1">
      <alignment horizontal="center" vertical="center" wrapText="1"/>
    </xf>
    <xf numFmtId="164" fontId="14" fillId="2" borderId="1" xfId="1" applyNumberFormat="1" applyFont="1" applyFill="1" applyBorder="1" applyAlignment="1">
      <alignment horizontal="center" vertical="center" wrapText="1"/>
    </xf>
    <xf numFmtId="164" fontId="18" fillId="2" borderId="8" xfId="1" applyNumberFormat="1" applyFont="1" applyFill="1" applyBorder="1" applyAlignment="1">
      <alignment horizontal="center" vertical="center" wrapText="1"/>
    </xf>
    <xf numFmtId="0" fontId="21" fillId="5" borderId="32" xfId="0" applyFont="1" applyFill="1" applyBorder="1" applyAlignment="1">
      <alignment horizontal="center" vertical="center" wrapText="1"/>
    </xf>
    <xf numFmtId="0" fontId="21" fillId="5" borderId="29" xfId="0" applyFont="1" applyFill="1" applyBorder="1" applyAlignment="1">
      <alignment horizontal="center" vertical="center" wrapText="1"/>
    </xf>
    <xf numFmtId="3" fontId="21" fillId="4" borderId="13" xfId="0" applyNumberFormat="1" applyFont="1" applyFill="1" applyBorder="1" applyAlignment="1">
      <alignment horizontal="center" vertical="center" wrapText="1"/>
    </xf>
    <xf numFmtId="3" fontId="21" fillId="4" borderId="16" xfId="0" applyNumberFormat="1" applyFont="1" applyFill="1" applyBorder="1" applyAlignment="1">
      <alignment horizontal="center" vertical="center" wrapText="1"/>
    </xf>
    <xf numFmtId="10" fontId="24" fillId="5" borderId="4" xfId="3" applyNumberFormat="1" applyFont="1" applyFill="1" applyBorder="1" applyAlignment="1">
      <alignment horizontal="center" vertical="center" wrapText="1"/>
    </xf>
    <xf numFmtId="10" fontId="24" fillId="5" borderId="8" xfId="3" applyNumberFormat="1" applyFont="1" applyFill="1" applyBorder="1" applyAlignment="1">
      <alignment horizontal="center" vertical="center" wrapText="1"/>
    </xf>
    <xf numFmtId="0" fontId="35" fillId="0" borderId="37" xfId="0" applyFont="1" applyBorder="1" applyAlignment="1">
      <alignment horizontal="center" vertical="center"/>
    </xf>
    <xf numFmtId="0" fontId="35" fillId="0" borderId="28" xfId="0" applyFont="1" applyBorder="1" applyAlignment="1">
      <alignment horizontal="center" vertical="center"/>
    </xf>
    <xf numFmtId="0" fontId="35" fillId="0" borderId="43" xfId="0" applyFont="1" applyBorder="1" applyAlignment="1">
      <alignment horizontal="center" vertical="center"/>
    </xf>
    <xf numFmtId="0" fontId="35" fillId="5" borderId="33"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35" fillId="5" borderId="34" xfId="0" applyFont="1" applyFill="1" applyBorder="1" applyAlignment="1">
      <alignment horizontal="center" vertical="center" wrapText="1"/>
    </xf>
    <xf numFmtId="0" fontId="2" fillId="0" borderId="33" xfId="0" applyFont="1" applyBorder="1" applyAlignment="1">
      <alignment horizontal="left" vertical="top" wrapText="1"/>
    </xf>
    <xf numFmtId="0" fontId="7" fillId="0" borderId="42" xfId="0" applyFont="1" applyBorder="1" applyAlignment="1">
      <alignment horizontal="left" vertical="top"/>
    </xf>
    <xf numFmtId="0" fontId="21" fillId="5" borderId="4" xfId="0" applyFont="1" applyFill="1" applyBorder="1" applyAlignment="1">
      <alignment horizontal="center" vertical="center" wrapText="1"/>
    </xf>
    <xf numFmtId="0" fontId="21" fillId="5" borderId="8" xfId="0" applyFont="1" applyFill="1" applyBorder="1" applyAlignment="1">
      <alignment horizontal="center" vertical="center" wrapText="1"/>
    </xf>
    <xf numFmtId="168" fontId="24" fillId="5" borderId="4" xfId="3" applyNumberFormat="1" applyFont="1" applyFill="1" applyBorder="1" applyAlignment="1">
      <alignment horizontal="center" vertical="center" wrapText="1"/>
    </xf>
    <xf numFmtId="168" fontId="24" fillId="5" borderId="8" xfId="3" applyNumberFormat="1" applyFont="1" applyFill="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8" xfId="0" applyFont="1" applyBorder="1" applyAlignment="1">
      <alignment horizontal="center" vertical="center" wrapText="1"/>
    </xf>
    <xf numFmtId="0" fontId="21" fillId="5" borderId="3" xfId="0" applyFont="1" applyFill="1" applyBorder="1" applyAlignment="1">
      <alignment horizontal="center" vertical="center" wrapText="1"/>
    </xf>
    <xf numFmtId="0" fontId="21" fillId="5" borderId="39" xfId="0" applyFont="1" applyFill="1" applyBorder="1" applyAlignment="1">
      <alignment horizontal="center" vertical="center" wrapText="1"/>
    </xf>
    <xf numFmtId="3" fontId="24" fillId="5" borderId="4" xfId="0" applyNumberFormat="1" applyFont="1" applyFill="1" applyBorder="1" applyAlignment="1">
      <alignment horizontal="center" vertical="center" wrapText="1"/>
    </xf>
    <xf numFmtId="3" fontId="24" fillId="5" borderId="8" xfId="0" applyNumberFormat="1" applyFont="1" applyFill="1" applyBorder="1" applyAlignment="1">
      <alignment horizontal="center" vertical="center" wrapText="1"/>
    </xf>
    <xf numFmtId="0" fontId="24" fillId="5" borderId="4"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4" fillId="4" borderId="8" xfId="0" applyFont="1" applyFill="1" applyBorder="1" applyAlignment="1">
      <alignment horizontal="center" vertical="center" wrapText="1"/>
    </xf>
    <xf numFmtId="3" fontId="21" fillId="5" borderId="4" xfId="0" applyNumberFormat="1" applyFont="1" applyFill="1" applyBorder="1" applyAlignment="1">
      <alignment horizontal="center" vertical="center" wrapText="1"/>
    </xf>
    <xf numFmtId="3" fontId="21" fillId="5" borderId="8"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8" xfId="0" applyFont="1" applyBorder="1" applyAlignment="1">
      <alignment horizontal="center" vertical="center" wrapText="1"/>
    </xf>
    <xf numFmtId="164" fontId="25" fillId="0" borderId="1" xfId="1" applyNumberFormat="1" applyFont="1" applyBorder="1" applyAlignment="1">
      <alignment horizontal="center" vertical="center" wrapText="1"/>
    </xf>
    <xf numFmtId="164" fontId="25" fillId="0" borderId="8" xfId="1" applyNumberFormat="1" applyFont="1" applyBorder="1" applyAlignment="1">
      <alignment horizontal="center" vertical="center" wrapText="1"/>
    </xf>
    <xf numFmtId="0" fontId="17" fillId="2" borderId="4" xfId="0" applyFont="1" applyFill="1" applyBorder="1" applyAlignment="1">
      <alignment horizontal="center" vertical="center" wrapText="1"/>
    </xf>
    <xf numFmtId="0" fontId="18" fillId="2" borderId="1" xfId="0" applyFont="1" applyFill="1" applyBorder="1" applyAlignment="1">
      <alignment horizontal="center" vertical="center" wrapText="1"/>
    </xf>
    <xf numFmtId="164" fontId="12" fillId="2" borderId="1" xfId="1" applyNumberFormat="1" applyFont="1" applyFill="1" applyBorder="1" applyAlignment="1">
      <alignment horizontal="center" vertical="center" wrapText="1"/>
    </xf>
    <xf numFmtId="164" fontId="12" fillId="2" borderId="8" xfId="1" applyNumberFormat="1"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31"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19" xfId="0" applyFont="1" applyFill="1" applyBorder="1" applyAlignment="1">
      <alignment horizontal="center" vertical="center" wrapText="1"/>
    </xf>
    <xf numFmtId="10" fontId="27" fillId="0" borderId="1" xfId="3" applyNumberFormat="1" applyFont="1" applyFill="1" applyBorder="1" applyAlignment="1">
      <alignment horizontal="center" vertical="center" wrapText="1"/>
    </xf>
    <xf numFmtId="10" fontId="27" fillId="0" borderId="8" xfId="3" applyNumberFormat="1" applyFont="1" applyFill="1" applyBorder="1" applyAlignment="1">
      <alignment horizontal="center" vertical="center" wrapText="1"/>
    </xf>
    <xf numFmtId="3" fontId="38" fillId="3" borderId="4" xfId="0" applyNumberFormat="1" applyFont="1" applyFill="1" applyBorder="1" applyAlignment="1">
      <alignment horizontal="center" vertical="center" wrapText="1"/>
    </xf>
    <xf numFmtId="3" fontId="38" fillId="3" borderId="8" xfId="0" applyNumberFormat="1" applyFont="1" applyFill="1" applyBorder="1" applyAlignment="1">
      <alignment horizontal="center" vertical="center" wrapText="1"/>
    </xf>
    <xf numFmtId="168" fontId="27" fillId="0" borderId="4" xfId="3" applyNumberFormat="1" applyFont="1" applyBorder="1" applyAlignment="1">
      <alignment horizontal="center" vertical="center" wrapText="1"/>
    </xf>
    <xf numFmtId="168" fontId="27" fillId="0" borderId="1" xfId="3" applyNumberFormat="1" applyFont="1" applyBorder="1" applyAlignment="1">
      <alignment horizontal="center" vertical="center" wrapText="1"/>
    </xf>
    <xf numFmtId="3" fontId="27" fillId="0" borderId="2" xfId="0" applyNumberFormat="1" applyFont="1" applyBorder="1" applyAlignment="1">
      <alignment horizontal="center" vertical="center" wrapText="1"/>
    </xf>
    <xf numFmtId="3" fontId="27" fillId="0" borderId="8" xfId="0" applyNumberFormat="1" applyFont="1" applyBorder="1" applyAlignment="1">
      <alignment horizontal="center" vertical="center" wrapText="1"/>
    </xf>
    <xf numFmtId="10" fontId="24" fillId="5" borderId="5" xfId="3" applyNumberFormat="1" applyFont="1" applyFill="1" applyBorder="1" applyAlignment="1">
      <alignment horizontal="center" vertical="center" wrapText="1"/>
    </xf>
    <xf numFmtId="10" fontId="24" fillId="5" borderId="23" xfId="3" applyNumberFormat="1" applyFont="1" applyFill="1" applyBorder="1" applyAlignment="1">
      <alignment horizontal="center" vertical="center" wrapText="1"/>
    </xf>
    <xf numFmtId="10" fontId="27" fillId="6" borderId="5" xfId="3" applyNumberFormat="1" applyFont="1" applyFill="1" applyBorder="1" applyAlignment="1">
      <alignment horizontal="center" vertical="center" wrapText="1"/>
    </xf>
    <xf numFmtId="10" fontId="27" fillId="6" borderId="7" xfId="3" applyNumberFormat="1" applyFont="1" applyFill="1" applyBorder="1" applyAlignment="1">
      <alignment horizontal="center" vertical="center" wrapText="1"/>
    </xf>
    <xf numFmtId="10" fontId="27" fillId="6" borderId="23" xfId="3" applyNumberFormat="1"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26" fillId="0" borderId="3" xfId="0" applyFont="1" applyBorder="1" applyAlignment="1">
      <alignment horizontal="center" vertical="center"/>
    </xf>
    <xf numFmtId="0" fontId="26" fillId="0" borderId="9" xfId="0" applyFont="1" applyBorder="1" applyAlignment="1">
      <alignment horizontal="center" vertical="center"/>
    </xf>
    <xf numFmtId="0" fontId="26" fillId="0" borderId="44" xfId="0" applyFont="1" applyBorder="1" applyAlignment="1">
      <alignment horizontal="center" vertical="center" textRotation="90" wrapText="1"/>
    </xf>
    <xf numFmtId="0" fontId="26" fillId="0" borderId="45" xfId="0" applyFont="1" applyBorder="1" applyAlignment="1">
      <alignment horizontal="center" vertical="center" textRotation="90" wrapText="1"/>
    </xf>
    <xf numFmtId="0" fontId="26" fillId="0" borderId="5"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35" xfId="0" applyFont="1" applyBorder="1" applyAlignment="1">
      <alignment horizontal="center" vertical="center" wrapText="1"/>
    </xf>
    <xf numFmtId="0" fontId="27" fillId="0" borderId="1" xfId="0" applyFont="1" applyBorder="1" applyAlignment="1">
      <alignment horizontal="center" vertical="center" textRotation="90" wrapText="1"/>
    </xf>
    <xf numFmtId="3" fontId="29" fillId="0" borderId="4" xfId="0" applyNumberFormat="1" applyFont="1" applyBorder="1" applyAlignment="1">
      <alignment horizontal="center" vertical="center" wrapText="1"/>
    </xf>
    <xf numFmtId="3" fontId="29" fillId="0" borderId="1" xfId="0" applyNumberFormat="1" applyFont="1" applyBorder="1" applyAlignment="1">
      <alignment horizontal="center" vertical="center" wrapText="1"/>
    </xf>
    <xf numFmtId="3" fontId="29" fillId="0" borderId="10" xfId="0" applyNumberFormat="1" applyFont="1" applyBorder="1" applyAlignment="1">
      <alignment horizontal="center" vertical="center" wrapText="1"/>
    </xf>
    <xf numFmtId="0" fontId="26" fillId="0" borderId="12" xfId="0" applyFont="1" applyBorder="1" applyAlignment="1">
      <alignment horizontal="center" vertical="center"/>
    </xf>
    <xf numFmtId="0" fontId="26" fillId="0" borderId="24" xfId="0" applyFont="1" applyBorder="1" applyAlignment="1">
      <alignment horizontal="center" vertical="center"/>
    </xf>
    <xf numFmtId="0" fontId="26" fillId="0" borderId="19" xfId="0" applyFont="1" applyBorder="1" applyAlignment="1">
      <alignment horizontal="center" vertical="center"/>
    </xf>
    <xf numFmtId="42" fontId="26" fillId="0" borderId="13" xfId="2" applyNumberFormat="1" applyFont="1" applyFill="1" applyBorder="1" applyAlignment="1">
      <alignment horizontal="center" vertical="center" wrapText="1"/>
    </xf>
    <xf numFmtId="42" fontId="26" fillId="0" borderId="17" xfId="2" applyNumberFormat="1" applyFont="1" applyFill="1" applyBorder="1" applyAlignment="1">
      <alignment horizontal="center" vertical="center" wrapText="1"/>
    </xf>
    <xf numFmtId="42" fontId="26" fillId="0" borderId="16" xfId="2" applyNumberFormat="1" applyFont="1" applyFill="1" applyBorder="1" applyAlignment="1">
      <alignment horizontal="center" vertical="center" wrapText="1"/>
    </xf>
    <xf numFmtId="0" fontId="26" fillId="0" borderId="32" xfId="0" applyFont="1" applyBorder="1" applyAlignment="1">
      <alignment horizontal="center" vertical="center" textRotation="90" wrapText="1"/>
    </xf>
    <xf numFmtId="0" fontId="26" fillId="0" borderId="38" xfId="0" applyFont="1" applyBorder="1" applyAlignment="1">
      <alignment horizontal="center" vertical="center" textRotation="90" wrapText="1"/>
    </xf>
    <xf numFmtId="0" fontId="26" fillId="0" borderId="29" xfId="0" applyFont="1" applyBorder="1" applyAlignment="1">
      <alignment horizontal="center" vertical="center" textRotation="90" wrapText="1"/>
    </xf>
    <xf numFmtId="0" fontId="26" fillId="0" borderId="2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 xfId="0" applyFont="1" applyBorder="1" applyAlignment="1">
      <alignment horizontal="center" vertical="center" wrapText="1"/>
    </xf>
    <xf numFmtId="0" fontId="17" fillId="0" borderId="4" xfId="0" applyFont="1" applyBorder="1" applyAlignment="1">
      <alignment horizontal="center" vertical="center" wrapText="1"/>
    </xf>
    <xf numFmtId="164" fontId="25" fillId="0" borderId="4" xfId="1" applyNumberFormat="1" applyFont="1" applyBorder="1" applyAlignment="1">
      <alignment horizontal="center" vertical="center" wrapText="1"/>
    </xf>
    <xf numFmtId="0" fontId="14" fillId="2" borderId="4" xfId="0" applyFont="1" applyFill="1" applyBorder="1" applyAlignment="1">
      <alignment horizontal="center" vertical="center" wrapText="1"/>
    </xf>
    <xf numFmtId="0" fontId="18" fillId="2" borderId="8" xfId="0" applyFont="1" applyFill="1" applyBorder="1" applyAlignment="1">
      <alignment horizontal="center" vertical="center" wrapText="1"/>
    </xf>
    <xf numFmtId="10" fontId="27" fillId="0" borderId="4" xfId="3" applyNumberFormat="1" applyFont="1" applyFill="1" applyBorder="1" applyAlignment="1">
      <alignment horizontal="center" vertical="center" wrapText="1"/>
    </xf>
    <xf numFmtId="164" fontId="12" fillId="2" borderId="4" xfId="1" applyNumberFormat="1" applyFont="1" applyFill="1" applyBorder="1" applyAlignment="1">
      <alignment horizontal="center" vertical="center" wrapText="1"/>
    </xf>
    <xf numFmtId="3" fontId="27" fillId="2" borderId="4" xfId="0" applyNumberFormat="1" applyFont="1" applyFill="1" applyBorder="1" applyAlignment="1">
      <alignment horizontal="center" vertical="center" wrapText="1"/>
    </xf>
    <xf numFmtId="0" fontId="13"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164" fontId="18" fillId="2" borderId="4" xfId="1"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14" fillId="2" borderId="8" xfId="0" applyFont="1" applyFill="1" applyBorder="1" applyAlignment="1">
      <alignment horizontal="center" vertical="center" wrapText="1"/>
    </xf>
    <xf numFmtId="168" fontId="27" fillId="2" borderId="1" xfId="3" applyNumberFormat="1" applyFont="1" applyFill="1" applyBorder="1" applyAlignment="1">
      <alignment horizontal="center" vertical="center" wrapText="1"/>
    </xf>
    <xf numFmtId="168" fontId="27" fillId="2" borderId="8" xfId="3" applyNumberFormat="1" applyFont="1" applyFill="1" applyBorder="1" applyAlignment="1">
      <alignment horizontal="center" vertical="center" wrapText="1"/>
    </xf>
    <xf numFmtId="0" fontId="37"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0" xfId="0" applyFont="1" applyFill="1" applyBorder="1" applyAlignment="1">
      <alignment horizontal="center" vertical="center" wrapText="1"/>
    </xf>
    <xf numFmtId="164" fontId="18" fillId="2" borderId="10" xfId="1" applyNumberFormat="1"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19" xfId="0" applyFont="1" applyFill="1" applyBorder="1" applyAlignment="1">
      <alignment horizontal="center" vertical="center" wrapText="1"/>
    </xf>
    <xf numFmtId="10" fontId="27" fillId="6" borderId="14" xfId="0" applyNumberFormat="1" applyFont="1" applyFill="1" applyBorder="1" applyAlignment="1">
      <alignment horizontal="center" vertical="center"/>
    </xf>
    <xf numFmtId="0" fontId="27" fillId="6" borderId="22" xfId="0" applyFont="1" applyFill="1" applyBorder="1" applyAlignment="1">
      <alignment horizontal="center" vertical="center"/>
    </xf>
    <xf numFmtId="0" fontId="27" fillId="6" borderId="31" xfId="0" applyFont="1" applyFill="1" applyBorder="1" applyAlignment="1">
      <alignment horizontal="center" vertical="center"/>
    </xf>
    <xf numFmtId="10" fontId="24" fillId="5" borderId="35" xfId="3" applyNumberFormat="1" applyFont="1" applyFill="1" applyBorder="1" applyAlignment="1">
      <alignment horizontal="center" vertical="center" wrapText="1"/>
    </xf>
    <xf numFmtId="10" fontId="27" fillId="6" borderId="35" xfId="3" applyNumberFormat="1" applyFont="1" applyFill="1" applyBorder="1" applyAlignment="1">
      <alignment horizontal="center" vertical="center" wrapText="1"/>
    </xf>
    <xf numFmtId="9" fontId="24" fillId="5" borderId="4" xfId="3" applyFont="1" applyFill="1" applyBorder="1" applyAlignment="1">
      <alignment horizontal="center" vertical="center" wrapText="1"/>
    </xf>
    <xf numFmtId="9" fontId="24" fillId="5" borderId="10" xfId="3" applyFont="1" applyFill="1" applyBorder="1" applyAlignment="1">
      <alignment horizontal="center" vertical="center" wrapText="1"/>
    </xf>
    <xf numFmtId="3" fontId="24" fillId="5" borderId="10" xfId="0" applyNumberFormat="1"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8" fillId="2" borderId="9" xfId="0" applyFont="1" applyFill="1" applyBorder="1" applyAlignment="1">
      <alignment horizontal="center" vertical="center" wrapText="1"/>
    </xf>
    <xf numFmtId="3" fontId="25" fillId="0" borderId="10" xfId="0" applyNumberFormat="1" applyFont="1" applyBorder="1" applyAlignment="1">
      <alignment horizontal="center" vertical="center" wrapText="1"/>
    </xf>
    <xf numFmtId="0" fontId="34" fillId="2" borderId="10"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26" fillId="0" borderId="24" xfId="0" applyFont="1" applyBorder="1" applyAlignment="1">
      <alignment horizontal="center" vertical="center" wrapText="1"/>
    </xf>
    <xf numFmtId="0" fontId="26" fillId="0" borderId="17" xfId="0" applyFont="1" applyBorder="1" applyAlignment="1">
      <alignment horizontal="center" vertical="center" wrapText="1"/>
    </xf>
    <xf numFmtId="0" fontId="18" fillId="0" borderId="17" xfId="0" applyFont="1" applyBorder="1" applyAlignment="1">
      <alignment horizontal="center" vertical="center" wrapText="1"/>
    </xf>
    <xf numFmtId="3" fontId="25" fillId="0" borderId="17" xfId="0" applyNumberFormat="1" applyFont="1" applyBorder="1" applyAlignment="1">
      <alignment horizontal="center" vertical="center" wrapText="1"/>
    </xf>
    <xf numFmtId="164" fontId="25" fillId="0" borderId="17" xfId="1" applyNumberFormat="1" applyFont="1" applyBorder="1" applyAlignment="1">
      <alignment horizontal="center" vertical="center" wrapText="1"/>
    </xf>
    <xf numFmtId="10" fontId="27" fillId="0" borderId="17" xfId="3" applyNumberFormat="1" applyFont="1" applyFill="1" applyBorder="1" applyAlignment="1">
      <alignment horizontal="center" vertical="center" wrapText="1"/>
    </xf>
    <xf numFmtId="3" fontId="27" fillId="2" borderId="17" xfId="0" applyNumberFormat="1" applyFont="1" applyFill="1" applyBorder="1" applyAlignment="1">
      <alignment horizontal="center" vertical="center" wrapText="1"/>
    </xf>
    <xf numFmtId="3" fontId="27" fillId="0" borderId="17" xfId="0" applyNumberFormat="1" applyFont="1" applyBorder="1" applyAlignment="1">
      <alignment horizontal="center" vertical="center" wrapText="1"/>
    </xf>
    <xf numFmtId="168" fontId="27" fillId="2" borderId="17" xfId="3" applyNumberFormat="1" applyFont="1" applyFill="1" applyBorder="1" applyAlignment="1">
      <alignment horizontal="center" vertical="center" wrapText="1"/>
    </xf>
    <xf numFmtId="10" fontId="27" fillId="6" borderId="17" xfId="3" applyNumberFormat="1" applyFont="1" applyFill="1" applyBorder="1" applyAlignment="1">
      <alignment horizontal="center" vertical="center" wrapText="1"/>
    </xf>
    <xf numFmtId="10" fontId="27" fillId="2" borderId="17" xfId="3" applyNumberFormat="1" applyFont="1" applyFill="1" applyBorder="1" applyAlignment="1">
      <alignment horizontal="center" vertical="center" wrapText="1"/>
    </xf>
    <xf numFmtId="10" fontId="27" fillId="6" borderId="22" xfId="3" applyNumberFormat="1" applyFont="1" applyFill="1" applyBorder="1" applyAlignment="1">
      <alignment horizontal="center" vertical="center" wrapText="1"/>
    </xf>
    <xf numFmtId="0" fontId="18" fillId="0" borderId="24" xfId="0" applyFont="1" applyBorder="1" applyAlignment="1">
      <alignment horizontal="center" vertical="center" wrapText="1"/>
    </xf>
    <xf numFmtId="0" fontId="27" fillId="0" borderId="17" xfId="0" applyFont="1" applyBorder="1" applyAlignment="1">
      <alignment horizontal="center" vertical="center" textRotation="90" wrapText="1"/>
    </xf>
    <xf numFmtId="0" fontId="29" fillId="0" borderId="17" xfId="0" applyFont="1" applyBorder="1" applyAlignment="1">
      <alignment horizontal="center" vertical="center" wrapText="1"/>
    </xf>
    <xf numFmtId="17" fontId="28" fillId="0" borderId="17" xfId="0" applyNumberFormat="1" applyFont="1" applyBorder="1" applyAlignment="1">
      <alignment horizontal="center" vertical="center" wrapText="1"/>
    </xf>
    <xf numFmtId="3" fontId="29" fillId="0" borderId="17" xfId="0" applyNumberFormat="1" applyFont="1" applyBorder="1" applyAlignment="1">
      <alignment horizontal="center" vertical="center" wrapText="1"/>
    </xf>
    <xf numFmtId="0" fontId="26" fillId="0" borderId="22" xfId="0" applyFont="1" applyBorder="1" applyAlignment="1">
      <alignment horizontal="center" vertical="center" wrapText="1"/>
    </xf>
    <xf numFmtId="0" fontId="10" fillId="0" borderId="17" xfId="0" applyFont="1" applyBorder="1" applyAlignment="1">
      <alignment horizontal="center" vertical="center" wrapText="1"/>
    </xf>
    <xf numFmtId="0" fontId="14" fillId="2" borderId="13"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6" xfId="0" applyFont="1" applyFill="1" applyBorder="1" applyAlignment="1">
      <alignment horizontal="center" vertical="center" wrapText="1"/>
    </xf>
    <xf numFmtId="164" fontId="45" fillId="2" borderId="46" xfId="1" applyNumberFormat="1" applyFont="1" applyFill="1" applyBorder="1" applyAlignment="1">
      <alignment horizontal="center" vertical="center" wrapText="1"/>
    </xf>
    <xf numFmtId="164" fontId="45" fillId="2" borderId="26" xfId="1" applyNumberFormat="1" applyFont="1" applyFill="1" applyBorder="1" applyAlignment="1">
      <alignment horizontal="center" vertical="center" wrapText="1"/>
    </xf>
    <xf numFmtId="164" fontId="45" fillId="2" borderId="53" xfId="1" applyNumberFormat="1"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19" xfId="0" applyFont="1" applyBorder="1" applyAlignment="1">
      <alignment horizontal="center" vertical="center" wrapText="1"/>
    </xf>
    <xf numFmtId="0" fontId="46" fillId="0" borderId="48" xfId="0" applyFont="1" applyBorder="1" applyAlignment="1">
      <alignment horizontal="center" vertical="center" wrapText="1"/>
    </xf>
    <xf numFmtId="0" fontId="46" fillId="0" borderId="47" xfId="0" applyFont="1" applyBorder="1" applyAlignment="1">
      <alignment horizontal="center" vertical="center" wrapText="1"/>
    </xf>
    <xf numFmtId="0" fontId="46" fillId="0" borderId="54" xfId="0" applyFont="1" applyBorder="1" applyAlignment="1">
      <alignment horizontal="center" vertical="center" wrapText="1"/>
    </xf>
    <xf numFmtId="9" fontId="27" fillId="2" borderId="16" xfId="3" applyFont="1" applyFill="1" applyBorder="1" applyAlignment="1">
      <alignment horizontal="center" vertical="center" wrapText="1"/>
    </xf>
    <xf numFmtId="10" fontId="46" fillId="0" borderId="55" xfId="0" applyNumberFormat="1" applyFont="1" applyBorder="1" applyAlignment="1">
      <alignment horizontal="center" vertical="center" wrapText="1"/>
    </xf>
    <xf numFmtId="0" fontId="29" fillId="0" borderId="49" xfId="0" applyFont="1" applyBorder="1" applyAlignment="1">
      <alignment horizontal="center" vertical="center" wrapText="1"/>
    </xf>
    <xf numFmtId="167" fontId="27" fillId="0" borderId="51" xfId="0" applyNumberFormat="1" applyFont="1" applyBorder="1" applyAlignment="1">
      <alignment horizontal="center" vertical="center"/>
    </xf>
    <xf numFmtId="167" fontId="27" fillId="0" borderId="52" xfId="0" applyNumberFormat="1" applyFont="1" applyBorder="1" applyAlignment="1">
      <alignment horizontal="center" vertical="center"/>
    </xf>
    <xf numFmtId="0" fontId="47" fillId="0" borderId="38" xfId="0" applyNumberFormat="1" applyFont="1" applyBorder="1" applyAlignment="1">
      <alignment horizontal="center" vertical="center" wrapText="1"/>
    </xf>
    <xf numFmtId="0" fontId="26" fillId="0" borderId="19" xfId="0" applyFont="1" applyBorder="1" applyAlignment="1">
      <alignment horizontal="center" vertical="center" wrapText="1"/>
    </xf>
    <xf numFmtId="0" fontId="18" fillId="0" borderId="16" xfId="0" applyFont="1" applyBorder="1" applyAlignment="1">
      <alignment horizontal="center" vertical="center" wrapText="1"/>
    </xf>
    <xf numFmtId="3" fontId="25" fillId="0" borderId="16" xfId="0" applyNumberFormat="1" applyFont="1" applyBorder="1" applyAlignment="1">
      <alignment horizontal="center" vertical="center" wrapText="1"/>
    </xf>
    <xf numFmtId="164" fontId="25" fillId="0" borderId="16" xfId="1" applyNumberFormat="1" applyFont="1" applyBorder="1" applyAlignment="1">
      <alignment horizontal="center" vertical="center" wrapText="1"/>
    </xf>
    <xf numFmtId="10" fontId="27" fillId="0" borderId="16" xfId="3" applyNumberFormat="1" applyFont="1" applyFill="1" applyBorder="1" applyAlignment="1">
      <alignment horizontal="center" vertical="center" wrapText="1"/>
    </xf>
    <xf numFmtId="3" fontId="27" fillId="0" borderId="16" xfId="0" applyNumberFormat="1" applyFont="1" applyBorder="1" applyAlignment="1">
      <alignment horizontal="center" vertical="center" wrapText="1"/>
    </xf>
    <xf numFmtId="168" fontId="27" fillId="0" borderId="16" xfId="3" applyNumberFormat="1" applyFont="1" applyBorder="1" applyAlignment="1">
      <alignment horizontal="center" vertical="center" wrapText="1"/>
    </xf>
    <xf numFmtId="10" fontId="27" fillId="6" borderId="16" xfId="3" applyNumberFormat="1" applyFont="1" applyFill="1" applyBorder="1" applyAlignment="1">
      <alignment horizontal="center" vertical="center" wrapText="1"/>
    </xf>
    <xf numFmtId="10" fontId="27" fillId="0" borderId="16" xfId="3" applyNumberFormat="1" applyFont="1" applyBorder="1" applyAlignment="1">
      <alignment horizontal="center" vertical="center" wrapText="1"/>
    </xf>
    <xf numFmtId="10" fontId="27" fillId="6" borderId="31" xfId="3" applyNumberFormat="1" applyFont="1" applyFill="1" applyBorder="1" applyAlignment="1">
      <alignment horizontal="center" vertical="center" wrapText="1"/>
    </xf>
    <xf numFmtId="0" fontId="26" fillId="0" borderId="31" xfId="0" applyFont="1" applyBorder="1" applyAlignment="1">
      <alignment horizontal="center" vertical="center" wrapText="1"/>
    </xf>
    <xf numFmtId="164" fontId="48" fillId="0" borderId="46" xfId="1" applyNumberFormat="1" applyFont="1" applyBorder="1" applyAlignment="1">
      <alignment horizontal="center" vertical="center" wrapText="1"/>
    </xf>
    <xf numFmtId="164" fontId="48" fillId="0" borderId="26" xfId="1" applyNumberFormat="1" applyFont="1" applyBorder="1" applyAlignment="1">
      <alignment horizontal="center" vertical="center" wrapText="1"/>
    </xf>
    <xf numFmtId="164" fontId="48" fillId="0" borderId="53" xfId="1" applyNumberFormat="1" applyFont="1" applyBorder="1" applyAlignment="1">
      <alignment horizontal="center" vertical="center" wrapText="1"/>
    </xf>
    <xf numFmtId="0" fontId="46" fillId="0" borderId="1" xfId="0" applyFont="1" applyBorder="1" applyAlignment="1">
      <alignment horizontal="center" vertical="center" wrapText="1"/>
    </xf>
    <xf numFmtId="9" fontId="29" fillId="0" borderId="16" xfId="3" applyFont="1" applyBorder="1" applyAlignment="1">
      <alignment horizontal="center" vertical="center" wrapText="1"/>
    </xf>
    <xf numFmtId="10" fontId="49" fillId="2" borderId="1" xfId="3" applyNumberFormat="1"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17" fillId="0" borderId="13" xfId="0" applyFont="1" applyBorder="1" applyAlignment="1">
      <alignment horizontal="center" vertical="center" wrapText="1"/>
    </xf>
    <xf numFmtId="3" fontId="25" fillId="0" borderId="13" xfId="0" applyNumberFormat="1" applyFont="1" applyBorder="1" applyAlignment="1">
      <alignment horizontal="center" vertical="center" wrapText="1"/>
    </xf>
    <xf numFmtId="164" fontId="25" fillId="0" borderId="13" xfId="1" applyNumberFormat="1" applyFont="1" applyBorder="1" applyAlignment="1">
      <alignment horizontal="center" vertical="center" wrapText="1"/>
    </xf>
    <xf numFmtId="10" fontId="27" fillId="0" borderId="13" xfId="3" applyNumberFormat="1" applyFont="1" applyFill="1" applyBorder="1" applyAlignment="1">
      <alignment horizontal="center" vertical="center" wrapText="1"/>
    </xf>
    <xf numFmtId="3" fontId="27" fillId="0" borderId="13" xfId="0" applyNumberFormat="1" applyFont="1" applyBorder="1" applyAlignment="1">
      <alignment horizontal="center" vertical="center" wrapText="1"/>
    </xf>
    <xf numFmtId="168" fontId="27" fillId="0" borderId="13" xfId="3" applyNumberFormat="1" applyFont="1" applyBorder="1" applyAlignment="1">
      <alignment horizontal="center" vertical="center" wrapText="1"/>
    </xf>
    <xf numFmtId="10" fontId="27" fillId="6" borderId="13" xfId="3" applyNumberFormat="1" applyFont="1" applyFill="1" applyBorder="1" applyAlignment="1">
      <alignment horizontal="center" vertical="center" wrapText="1"/>
    </xf>
    <xf numFmtId="10" fontId="27" fillId="6" borderId="14" xfId="0" applyNumberFormat="1" applyFont="1" applyFill="1" applyBorder="1" applyAlignment="1">
      <alignment horizontal="center" vertical="center" wrapText="1"/>
    </xf>
    <xf numFmtId="3" fontId="29" fillId="0" borderId="13" xfId="0" applyNumberFormat="1" applyFont="1" applyBorder="1" applyAlignment="1">
      <alignment horizontal="center" vertical="center" wrapText="1"/>
    </xf>
    <xf numFmtId="17" fontId="28" fillId="0" borderId="13" xfId="0" applyNumberFormat="1" applyFont="1" applyBorder="1" applyAlignment="1">
      <alignment horizontal="center" vertical="center" wrapText="1"/>
    </xf>
    <xf numFmtId="3" fontId="28" fillId="0" borderId="13" xfId="0" applyNumberFormat="1" applyFont="1" applyBorder="1" applyAlignment="1">
      <alignment horizontal="center" vertical="center" wrapText="1"/>
    </xf>
    <xf numFmtId="0" fontId="26" fillId="0" borderId="14" xfId="0" applyFont="1" applyBorder="1" applyAlignment="1">
      <alignment horizontal="center" vertical="center" wrapText="1"/>
    </xf>
    <xf numFmtId="164" fontId="50" fillId="0" borderId="32" xfId="1" applyNumberFormat="1" applyFont="1" applyBorder="1" applyAlignment="1">
      <alignment horizontal="center" vertical="center" wrapText="1"/>
    </xf>
    <xf numFmtId="164" fontId="50" fillId="0" borderId="28" xfId="1" applyNumberFormat="1" applyFont="1" applyBorder="1" applyAlignment="1">
      <alignment horizontal="center" vertical="center" wrapText="1"/>
    </xf>
    <xf numFmtId="164" fontId="50" fillId="0" borderId="26" xfId="1" applyNumberFormat="1" applyFont="1" applyBorder="1" applyAlignment="1">
      <alignment horizontal="center" vertical="center" wrapText="1"/>
    </xf>
    <xf numFmtId="164" fontId="50" fillId="0" borderId="53" xfId="1" applyNumberFormat="1" applyFont="1" applyBorder="1" applyAlignment="1">
      <alignment horizontal="center" vertical="center" wrapText="1"/>
    </xf>
    <xf numFmtId="0" fontId="46" fillId="0" borderId="46" xfId="0" applyFont="1" applyBorder="1" applyAlignment="1">
      <alignment horizontal="center" vertical="center" wrapText="1"/>
    </xf>
    <xf numFmtId="0" fontId="46" fillId="0" borderId="26" xfId="0" applyFont="1" applyBorder="1" applyAlignment="1">
      <alignment horizontal="center" vertical="center" wrapText="1"/>
    </xf>
    <xf numFmtId="0" fontId="46" fillId="0" borderId="53" xfId="0" applyFont="1" applyBorder="1" applyAlignment="1">
      <alignment horizontal="center" vertical="center" wrapText="1"/>
    </xf>
    <xf numFmtId="9" fontId="49" fillId="0" borderId="17" xfId="3" applyFont="1" applyBorder="1" applyAlignment="1">
      <alignment horizontal="center" vertical="center" wrapText="1"/>
    </xf>
    <xf numFmtId="165" fontId="10" fillId="0" borderId="13" xfId="2" applyNumberFormat="1" applyFont="1" applyFill="1" applyBorder="1" applyAlignment="1">
      <alignment horizontal="center" vertical="center" wrapText="1"/>
    </xf>
    <xf numFmtId="165" fontId="10" fillId="0" borderId="16" xfId="2" applyNumberFormat="1" applyFont="1" applyFill="1" applyBorder="1" applyAlignment="1">
      <alignment horizontal="center" vertical="center" wrapText="1"/>
    </xf>
    <xf numFmtId="0" fontId="1" fillId="0" borderId="43" xfId="0" applyFont="1" applyBorder="1" applyAlignment="1">
      <alignment horizontal="left" vertical="top" wrapText="1"/>
    </xf>
    <xf numFmtId="0" fontId="29" fillId="0" borderId="57" xfId="0" applyFont="1" applyBorder="1" applyAlignment="1">
      <alignment horizontal="center" vertical="center" wrapText="1"/>
    </xf>
    <xf numFmtId="167" fontId="26" fillId="0" borderId="1" xfId="0" applyNumberFormat="1" applyFont="1" applyBorder="1" applyAlignment="1">
      <alignment horizontal="center" vertical="center"/>
    </xf>
    <xf numFmtId="168" fontId="29" fillId="0" borderId="10" xfId="3" applyNumberFormat="1" applyFont="1" applyBorder="1" applyAlignment="1">
      <alignment horizontal="center" vertical="center" wrapText="1"/>
    </xf>
    <xf numFmtId="10" fontId="27" fillId="6" borderId="10" xfId="3" applyNumberFormat="1" applyFont="1" applyFill="1" applyBorder="1" applyAlignment="1">
      <alignment horizontal="center" vertical="center" wrapText="1"/>
    </xf>
    <xf numFmtId="10" fontId="29" fillId="0" borderId="10" xfId="3" applyNumberFormat="1" applyFont="1" applyBorder="1" applyAlignment="1">
      <alignment horizontal="center" vertical="center" wrapText="1"/>
    </xf>
    <xf numFmtId="0" fontId="27" fillId="0" borderId="24" xfId="0" applyFont="1" applyBorder="1" applyAlignment="1">
      <alignment horizontal="center" vertical="center" wrapText="1"/>
    </xf>
    <xf numFmtId="0" fontId="27" fillId="0" borderId="17" xfId="0" applyFont="1" applyBorder="1" applyAlignment="1">
      <alignment horizontal="center" vertical="center" wrapText="1"/>
    </xf>
    <xf numFmtId="0" fontId="29" fillId="0" borderId="22" xfId="0" applyFont="1" applyBorder="1" applyAlignment="1">
      <alignment horizontal="center" vertical="center" wrapText="1"/>
    </xf>
    <xf numFmtId="168" fontId="27" fillId="0" borderId="17" xfId="3" applyNumberFormat="1" applyFont="1" applyBorder="1" applyAlignment="1">
      <alignment horizontal="center" vertical="center" wrapText="1"/>
    </xf>
    <xf numFmtId="168" fontId="27" fillId="6" borderId="17" xfId="3" applyNumberFormat="1" applyFont="1" applyFill="1" applyBorder="1" applyAlignment="1">
      <alignment horizontal="center" vertical="center" wrapText="1"/>
    </xf>
    <xf numFmtId="0" fontId="29" fillId="0" borderId="24"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56" xfId="0" applyFont="1" applyBorder="1" applyAlignment="1">
      <alignment horizontal="center" vertical="center" wrapText="1"/>
    </xf>
    <xf numFmtId="0" fontId="5" fillId="0" borderId="56" xfId="0" applyFont="1" applyBorder="1" applyAlignment="1">
      <alignment vertical="top" wrapText="1"/>
    </xf>
    <xf numFmtId="0" fontId="8" fillId="2" borderId="13"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164" fontId="51" fillId="0" borderId="1" xfId="1" applyNumberFormat="1" applyFont="1" applyBorder="1" applyAlignment="1">
      <alignment horizontal="center" vertical="center" wrapText="1"/>
    </xf>
    <xf numFmtId="0" fontId="27" fillId="0" borderId="58" xfId="0" applyFont="1" applyBorder="1" applyAlignment="1">
      <alignment horizontal="center" vertical="center" wrapText="1"/>
    </xf>
    <xf numFmtId="164" fontId="51" fillId="0" borderId="2" xfId="1" applyNumberFormat="1" applyFont="1" applyBorder="1" applyAlignment="1">
      <alignment horizontal="center" vertical="center" wrapText="1"/>
    </xf>
    <xf numFmtId="168" fontId="27" fillId="6" borderId="1" xfId="3" applyNumberFormat="1" applyFont="1" applyFill="1" applyBorder="1" applyAlignment="1">
      <alignment horizontal="center" vertical="center" wrapText="1"/>
    </xf>
    <xf numFmtId="9" fontId="27" fillId="6" borderId="1" xfId="0" applyNumberFormat="1" applyFont="1" applyFill="1" applyBorder="1" applyAlignment="1">
      <alignment horizontal="center" vertical="center" wrapText="1"/>
    </xf>
    <xf numFmtId="9" fontId="49" fillId="6" borderId="22" xfId="0" applyNumberFormat="1" applyFont="1" applyFill="1" applyBorder="1" applyAlignment="1">
      <alignment horizontal="center" vertical="center" wrapText="1"/>
    </xf>
    <xf numFmtId="0" fontId="27"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27" fillId="0" borderId="60" xfId="0" applyFont="1" applyBorder="1" applyAlignment="1">
      <alignment horizontal="center" vertical="center" wrapText="1"/>
    </xf>
    <xf numFmtId="0" fontId="8" fillId="0" borderId="58" xfId="0" applyFont="1" applyBorder="1" applyAlignment="1">
      <alignment horizontal="center" vertical="center" wrapText="1"/>
    </xf>
    <xf numFmtId="10" fontId="27" fillId="6" borderId="1" xfId="0" applyNumberFormat="1" applyFont="1" applyFill="1" applyBorder="1" applyAlignment="1">
      <alignment horizontal="center" vertical="center" wrapText="1"/>
    </xf>
    <xf numFmtId="0" fontId="52" fillId="0" borderId="1" xfId="0" applyFont="1" applyBorder="1" applyAlignment="1">
      <alignment horizontal="center" vertical="center"/>
    </xf>
    <xf numFmtId="0" fontId="16" fillId="2" borderId="61" xfId="0" applyFont="1" applyFill="1" applyBorder="1" applyAlignment="1">
      <alignment horizontal="center" vertical="center" wrapText="1"/>
    </xf>
    <xf numFmtId="0" fontId="16" fillId="2" borderId="55" xfId="0" applyFont="1" applyFill="1" applyBorder="1" applyAlignment="1">
      <alignment horizontal="center" vertical="center" wrapText="1"/>
    </xf>
    <xf numFmtId="10" fontId="27" fillId="6" borderId="2" xfId="3" applyNumberFormat="1" applyFont="1" applyFill="1" applyBorder="1" applyAlignment="1">
      <alignment horizontal="center" vertical="center" wrapText="1"/>
    </xf>
    <xf numFmtId="166" fontId="29" fillId="0" borderId="10" xfId="0" applyNumberFormat="1" applyFont="1" applyBorder="1" applyAlignment="1">
      <alignment horizontal="center" vertical="center" wrapText="1"/>
    </xf>
    <xf numFmtId="10" fontId="27" fillId="6" borderId="10" xfId="0" applyNumberFormat="1" applyFont="1" applyFill="1" applyBorder="1" applyAlignment="1">
      <alignment horizontal="center" vertical="center" wrapText="1"/>
    </xf>
    <xf numFmtId="3" fontId="27" fillId="0" borderId="1" xfId="0" applyNumberFormat="1" applyFont="1" applyBorder="1"/>
    <xf numFmtId="168" fontId="27" fillId="0" borderId="1" xfId="3" applyNumberFormat="1" applyFont="1" applyBorder="1"/>
    <xf numFmtId="10" fontId="27" fillId="0" borderId="1" xfId="3" applyNumberFormat="1" applyFont="1" applyBorder="1"/>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colors>
    <mruColors>
      <color rgb="FFE2EFDA"/>
      <color rgb="FF6699FF"/>
      <color rgb="FF1C5BF7"/>
      <color rgb="FF73FEFF"/>
      <color rgb="FFFFD579"/>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26"/>
  <sheetViews>
    <sheetView showGridLines="0" tabSelected="1" topLeftCell="G4" zoomScale="70" zoomScaleNormal="70" zoomScaleSheetLayoutView="50" workbookViewId="0">
      <pane ySplit="1" topLeftCell="A22" activePane="bottomLeft" state="frozen"/>
      <selection activeCell="H4" sqref="H4"/>
      <selection pane="bottomLeft" activeCell="AW23" sqref="AW23"/>
    </sheetView>
  </sheetViews>
  <sheetFormatPr baseColWidth="10" defaultRowHeight="21"/>
  <cols>
    <col min="1" max="1" width="12.85546875" style="5" customWidth="1"/>
    <col min="2" max="2" width="13.140625" style="5" customWidth="1"/>
    <col min="3" max="3" width="14.28515625" style="3" customWidth="1"/>
    <col min="4" max="4" width="13.140625" style="3" customWidth="1"/>
    <col min="5" max="5" width="14.140625" style="3" customWidth="1"/>
    <col min="6" max="6" width="16.85546875" style="4" customWidth="1"/>
    <col min="7" max="7" width="14.85546875" style="4" customWidth="1"/>
    <col min="8" max="8" width="16" style="4" customWidth="1"/>
    <col min="9" max="9" width="14.42578125" style="4" customWidth="1"/>
    <col min="10" max="10" width="16.28515625" style="3" customWidth="1"/>
    <col min="11" max="11" width="14" style="24" customWidth="1"/>
    <col min="12" max="12" width="11.140625" style="3" customWidth="1"/>
    <col min="13" max="13" width="18.7109375" style="3" customWidth="1"/>
    <col min="14" max="14" width="5.85546875" style="3" hidden="1" customWidth="1"/>
    <col min="15" max="15" width="9.85546875" style="3" hidden="1" customWidth="1"/>
    <col min="16" max="16" width="17.85546875" style="3" customWidth="1"/>
    <col min="17" max="17" width="14" style="10" customWidth="1"/>
    <col min="18" max="18" width="14.42578125" style="11" customWidth="1"/>
    <col min="19" max="19" width="14" style="11" customWidth="1"/>
    <col min="20" max="24" width="13.85546875" style="11" customWidth="1"/>
    <col min="25" max="25" width="13.85546875" style="80" customWidth="1"/>
    <col min="26" max="26" width="13.85546875" style="82" customWidth="1"/>
    <col min="27" max="27" width="13.85546875" style="11" customWidth="1"/>
    <col min="28" max="28" width="13.85546875" style="80" customWidth="1"/>
    <col min="29" max="29" width="13.85546875" style="82" customWidth="1"/>
    <col min="30" max="30" width="27.85546875" style="3" customWidth="1"/>
    <col min="31" max="31" width="24" style="6" customWidth="1"/>
    <col min="32" max="32" width="19.85546875" style="3" customWidth="1"/>
    <col min="33" max="33" width="20.85546875" style="4" customWidth="1"/>
    <col min="34" max="34" width="19.85546875" style="4" customWidth="1"/>
    <col min="35" max="35" width="15.42578125" style="13" customWidth="1"/>
    <col min="36" max="37" width="14.85546875" style="13" customWidth="1"/>
    <col min="38" max="38" width="20.7109375" style="13" customWidth="1"/>
    <col min="39" max="40" width="13.85546875" style="7" customWidth="1"/>
    <col min="41" max="41" width="13.85546875" style="5" customWidth="1"/>
    <col min="42" max="42" width="15.7109375" style="16" customWidth="1"/>
    <col min="43" max="43" width="15.28515625" style="16" customWidth="1"/>
    <col min="44" max="44" width="19.7109375" style="5" customWidth="1"/>
    <col min="45" max="45" width="20" style="7" customWidth="1"/>
    <col min="46" max="46" width="19.7109375" style="8" customWidth="1"/>
    <col min="47" max="47" width="28.5703125" style="5" customWidth="1"/>
    <col min="48" max="48" width="18.7109375" style="15" customWidth="1"/>
    <col min="49" max="49" width="19.85546875" style="5" customWidth="1"/>
    <col min="50" max="50" width="21" style="9" customWidth="1"/>
    <col min="51" max="53" width="28.7109375" style="5" customWidth="1"/>
    <col min="54" max="54" width="65" customWidth="1"/>
    <col min="56" max="56" width="18.7109375" customWidth="1"/>
  </cols>
  <sheetData>
    <row r="1" spans="1:60" ht="81" customHeight="1">
      <c r="A1" s="263" t="s">
        <v>194</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t="s">
        <v>194</v>
      </c>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row>
    <row r="2" spans="1:60" ht="30" customHeight="1" thickBot="1">
      <c r="A2" s="237" t="s">
        <v>198</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t="s">
        <v>198</v>
      </c>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row>
    <row r="3" spans="1:60" ht="36" customHeight="1" thickBot="1">
      <c r="A3" s="291" t="s">
        <v>95</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3"/>
      <c r="AD3" s="250" t="s">
        <v>160</v>
      </c>
      <c r="AE3" s="250"/>
      <c r="AF3" s="250"/>
      <c r="AG3" s="250"/>
      <c r="AH3" s="250"/>
      <c r="AI3" s="250"/>
      <c r="AJ3" s="250"/>
      <c r="AK3" s="250"/>
      <c r="AL3" s="250"/>
      <c r="AM3" s="250"/>
      <c r="AN3" s="250"/>
      <c r="AO3" s="250"/>
      <c r="AP3" s="250"/>
      <c r="AQ3" s="250"/>
      <c r="AR3" s="250"/>
      <c r="AS3" s="250"/>
      <c r="AT3" s="245" t="s">
        <v>101</v>
      </c>
      <c r="AU3" s="246"/>
      <c r="AV3" s="246"/>
      <c r="AW3" s="246"/>
      <c r="AX3" s="246"/>
      <c r="AY3" s="247"/>
      <c r="AZ3" s="232"/>
      <c r="BA3" s="232"/>
      <c r="BB3" s="294" t="s">
        <v>161</v>
      </c>
    </row>
    <row r="4" spans="1:60" s="3" customFormat="1" ht="45" customHeight="1">
      <c r="A4" s="307" t="s">
        <v>0</v>
      </c>
      <c r="B4" s="299" t="s">
        <v>45</v>
      </c>
      <c r="C4" s="299" t="s">
        <v>14</v>
      </c>
      <c r="D4" s="299" t="s">
        <v>87</v>
      </c>
      <c r="E4" s="299" t="s">
        <v>88</v>
      </c>
      <c r="F4" s="256" t="s">
        <v>163</v>
      </c>
      <c r="G4" s="256" t="s">
        <v>89</v>
      </c>
      <c r="H4" s="256" t="s">
        <v>117</v>
      </c>
      <c r="I4" s="299" t="s">
        <v>1</v>
      </c>
      <c r="J4" s="299" t="s">
        <v>90</v>
      </c>
      <c r="K4" s="299" t="s">
        <v>59</v>
      </c>
      <c r="L4" s="299" t="s">
        <v>81</v>
      </c>
      <c r="M4" s="311" t="s">
        <v>15</v>
      </c>
      <c r="N4" s="313" t="s">
        <v>91</v>
      </c>
      <c r="O4" s="313"/>
      <c r="P4" s="313" t="s">
        <v>92</v>
      </c>
      <c r="Q4" s="309" t="s">
        <v>93</v>
      </c>
      <c r="R4" s="315" t="s">
        <v>134</v>
      </c>
      <c r="S4" s="315" t="s">
        <v>94</v>
      </c>
      <c r="T4" s="332" t="s">
        <v>184</v>
      </c>
      <c r="U4" s="332" t="s">
        <v>185</v>
      </c>
      <c r="V4" s="332" t="s">
        <v>186</v>
      </c>
      <c r="W4" s="332" t="s">
        <v>187</v>
      </c>
      <c r="X4" s="309" t="s">
        <v>138</v>
      </c>
      <c r="Y4" s="301" t="s">
        <v>139</v>
      </c>
      <c r="Z4" s="289" t="s">
        <v>140</v>
      </c>
      <c r="AA4" s="309" t="s">
        <v>135</v>
      </c>
      <c r="AB4" s="301" t="s">
        <v>136</v>
      </c>
      <c r="AC4" s="338" t="s">
        <v>137</v>
      </c>
      <c r="AD4" s="328" t="s">
        <v>96</v>
      </c>
      <c r="AE4" s="248" t="s">
        <v>58</v>
      </c>
      <c r="AF4" s="248" t="s">
        <v>16</v>
      </c>
      <c r="AG4" s="251" t="s">
        <v>166</v>
      </c>
      <c r="AH4" s="251" t="s">
        <v>97</v>
      </c>
      <c r="AI4" s="287" t="s">
        <v>164</v>
      </c>
      <c r="AJ4" s="238" t="s">
        <v>188</v>
      </c>
      <c r="AK4" s="287" t="s">
        <v>165</v>
      </c>
      <c r="AL4" s="238" t="s">
        <v>203</v>
      </c>
      <c r="AM4" s="251" t="s">
        <v>98</v>
      </c>
      <c r="AN4" s="251" t="s">
        <v>99</v>
      </c>
      <c r="AO4" s="251" t="s">
        <v>100</v>
      </c>
      <c r="AP4" s="265" t="s">
        <v>82</v>
      </c>
      <c r="AQ4" s="265" t="s">
        <v>83</v>
      </c>
      <c r="AR4" s="248" t="s">
        <v>2</v>
      </c>
      <c r="AS4" s="326" t="s">
        <v>3</v>
      </c>
      <c r="AT4" s="328" t="s">
        <v>17</v>
      </c>
      <c r="AU4" s="248" t="s">
        <v>167</v>
      </c>
      <c r="AV4" s="248" t="s">
        <v>60</v>
      </c>
      <c r="AW4" s="248" t="s">
        <v>29</v>
      </c>
      <c r="AX4" s="285" t="s">
        <v>169</v>
      </c>
      <c r="AY4" s="240" t="s">
        <v>193</v>
      </c>
      <c r="AZ4" s="240" t="s">
        <v>204</v>
      </c>
      <c r="BA4" s="240" t="s">
        <v>205</v>
      </c>
      <c r="BB4" s="295"/>
      <c r="BD4" s="12">
        <v>4488210003035200</v>
      </c>
    </row>
    <row r="5" spans="1:60" s="3" customFormat="1" ht="68.25" customHeight="1" thickBot="1">
      <c r="A5" s="308"/>
      <c r="B5" s="300"/>
      <c r="C5" s="300"/>
      <c r="D5" s="300"/>
      <c r="E5" s="300"/>
      <c r="F5" s="257"/>
      <c r="G5" s="257"/>
      <c r="H5" s="257"/>
      <c r="I5" s="300"/>
      <c r="J5" s="300"/>
      <c r="K5" s="300"/>
      <c r="L5" s="300"/>
      <c r="M5" s="312"/>
      <c r="N5" s="101" t="s">
        <v>158</v>
      </c>
      <c r="O5" s="101" t="s">
        <v>159</v>
      </c>
      <c r="P5" s="314"/>
      <c r="Q5" s="310"/>
      <c r="R5" s="316"/>
      <c r="S5" s="316"/>
      <c r="T5" s="333"/>
      <c r="U5" s="333"/>
      <c r="V5" s="333"/>
      <c r="W5" s="333"/>
      <c r="X5" s="310"/>
      <c r="Y5" s="302"/>
      <c r="Z5" s="290"/>
      <c r="AA5" s="310"/>
      <c r="AB5" s="302"/>
      <c r="AC5" s="339"/>
      <c r="AD5" s="329"/>
      <c r="AE5" s="249"/>
      <c r="AF5" s="249"/>
      <c r="AG5" s="252"/>
      <c r="AH5" s="264"/>
      <c r="AI5" s="288"/>
      <c r="AJ5" s="239"/>
      <c r="AK5" s="288"/>
      <c r="AL5" s="239"/>
      <c r="AM5" s="264"/>
      <c r="AN5" s="264"/>
      <c r="AO5" s="264"/>
      <c r="AP5" s="266"/>
      <c r="AQ5" s="266"/>
      <c r="AR5" s="249"/>
      <c r="AS5" s="327"/>
      <c r="AT5" s="329"/>
      <c r="AU5" s="249"/>
      <c r="AV5" s="249"/>
      <c r="AW5" s="249"/>
      <c r="AX5" s="286"/>
      <c r="AY5" s="241"/>
      <c r="AZ5" s="241"/>
      <c r="BA5" s="241"/>
      <c r="BB5" s="296"/>
      <c r="BD5" s="12"/>
    </row>
    <row r="6" spans="1:60" s="1" customFormat="1" ht="165.95" customHeight="1">
      <c r="A6" s="303" t="s">
        <v>4</v>
      </c>
      <c r="B6" s="254" t="s">
        <v>5</v>
      </c>
      <c r="C6" s="317" t="s">
        <v>162</v>
      </c>
      <c r="D6" s="267" t="s">
        <v>33</v>
      </c>
      <c r="E6" s="267" t="s">
        <v>107</v>
      </c>
      <c r="F6" s="322" t="s">
        <v>46</v>
      </c>
      <c r="G6" s="383" t="s">
        <v>8</v>
      </c>
      <c r="H6" s="373">
        <f>AA6/36794</f>
        <v>8.2948306789150411E-2</v>
      </c>
      <c r="I6" s="434" t="s">
        <v>6</v>
      </c>
      <c r="J6" s="281" t="s">
        <v>8</v>
      </c>
      <c r="K6" s="374" t="s">
        <v>61</v>
      </c>
      <c r="L6" s="378" t="s">
        <v>33</v>
      </c>
      <c r="M6" s="376" t="s">
        <v>47</v>
      </c>
      <c r="N6" s="381" t="s">
        <v>111</v>
      </c>
      <c r="O6" s="376"/>
      <c r="P6" s="379" t="s">
        <v>110</v>
      </c>
      <c r="Q6" s="375">
        <v>5000</v>
      </c>
      <c r="R6" s="274">
        <f>58+35+230+660</f>
        <v>983</v>
      </c>
      <c r="S6" s="274">
        <v>2565</v>
      </c>
      <c r="T6" s="274">
        <v>0</v>
      </c>
      <c r="U6" s="274">
        <v>5</v>
      </c>
      <c r="V6" s="274">
        <v>63</v>
      </c>
      <c r="W6" s="274">
        <v>419</v>
      </c>
      <c r="X6" s="274">
        <f>SUM(T6:W7)</f>
        <v>487</v>
      </c>
      <c r="Y6" s="334">
        <f>X6/R6</f>
        <v>0.49542217700915564</v>
      </c>
      <c r="Z6" s="278">
        <f>AVERAGE(Y6:Y9)</f>
        <v>0.45655980401361684</v>
      </c>
      <c r="AA6" s="274">
        <f>S6+X6</f>
        <v>3052</v>
      </c>
      <c r="AB6" s="270">
        <f>AA6/Q6</f>
        <v>0.61040000000000005</v>
      </c>
      <c r="AC6" s="340">
        <f>AVERAGE(AB6:AB9)</f>
        <v>0.69070000000000009</v>
      </c>
      <c r="AD6" s="440" t="s">
        <v>21</v>
      </c>
      <c r="AE6" s="253" t="s">
        <v>24</v>
      </c>
      <c r="AF6" s="260" t="s">
        <v>18</v>
      </c>
      <c r="AG6" s="26" t="s">
        <v>121</v>
      </c>
      <c r="AH6" s="26" t="s">
        <v>123</v>
      </c>
      <c r="AI6" s="57">
        <v>983</v>
      </c>
      <c r="AJ6" s="63">
        <f>X6</f>
        <v>487</v>
      </c>
      <c r="AK6" s="60">
        <f t="shared" ref="AK6:AK12" si="0">AJ6/AI6</f>
        <v>0.49542217700915564</v>
      </c>
      <c r="AL6" s="425">
        <f>+(AJ6*AK6)/AI6</f>
        <v>0.24544313347249114</v>
      </c>
      <c r="AM6" s="25" t="s">
        <v>103</v>
      </c>
      <c r="AN6" s="25" t="s">
        <v>127</v>
      </c>
      <c r="AO6" s="63">
        <v>360</v>
      </c>
      <c r="AP6" s="354">
        <f>Q6*5</f>
        <v>25000</v>
      </c>
      <c r="AQ6" s="354">
        <f>AA8*5</f>
        <v>15420</v>
      </c>
      <c r="AR6" s="254" t="s">
        <v>11</v>
      </c>
      <c r="AS6" s="350" t="s">
        <v>157</v>
      </c>
      <c r="AT6" s="357" t="s">
        <v>67</v>
      </c>
      <c r="AU6" s="242">
        <f>4000000001+200000000+300000000</f>
        <v>4500000001</v>
      </c>
      <c r="AV6" s="360" t="s">
        <v>102</v>
      </c>
      <c r="AW6" s="343" t="s">
        <v>73</v>
      </c>
      <c r="AX6" s="363" t="s">
        <v>71</v>
      </c>
      <c r="AY6" s="242">
        <v>2711833802.6199999</v>
      </c>
      <c r="AZ6" s="242">
        <v>4500000001</v>
      </c>
      <c r="BA6" s="242">
        <v>4200000001</v>
      </c>
      <c r="BB6" s="297" t="s">
        <v>195</v>
      </c>
      <c r="BC6" s="2"/>
      <c r="BD6" s="2"/>
    </row>
    <row r="7" spans="1:60" s="2" customFormat="1" ht="165.95" customHeight="1">
      <c r="A7" s="304"/>
      <c r="B7" s="262"/>
      <c r="C7" s="318"/>
      <c r="D7" s="268"/>
      <c r="E7" s="268"/>
      <c r="F7" s="323"/>
      <c r="G7" s="384"/>
      <c r="H7" s="330"/>
      <c r="I7" s="435"/>
      <c r="J7" s="282"/>
      <c r="K7" s="324"/>
      <c r="L7" s="282"/>
      <c r="M7" s="323"/>
      <c r="N7" s="382"/>
      <c r="O7" s="380"/>
      <c r="P7" s="380"/>
      <c r="Q7" s="276"/>
      <c r="R7" s="275"/>
      <c r="S7" s="275"/>
      <c r="T7" s="275"/>
      <c r="U7" s="275"/>
      <c r="V7" s="275"/>
      <c r="W7" s="275"/>
      <c r="X7" s="275"/>
      <c r="Y7" s="335"/>
      <c r="Z7" s="279"/>
      <c r="AA7" s="275"/>
      <c r="AB7" s="271"/>
      <c r="AC7" s="341"/>
      <c r="AD7" s="441"/>
      <c r="AE7" s="353"/>
      <c r="AF7" s="318"/>
      <c r="AG7" s="17" t="s">
        <v>120</v>
      </c>
      <c r="AH7" s="17" t="s">
        <v>124</v>
      </c>
      <c r="AI7" s="58">
        <v>890</v>
      </c>
      <c r="AJ7" s="58">
        <v>431</v>
      </c>
      <c r="AK7" s="61">
        <f t="shared" si="0"/>
        <v>0.48426966292134832</v>
      </c>
      <c r="AL7" s="425">
        <f>+(AJ7*AK7)/AI7</f>
        <v>0.23451710642595633</v>
      </c>
      <c r="AM7" s="18" t="s">
        <v>103</v>
      </c>
      <c r="AN7" s="18" t="s">
        <v>127</v>
      </c>
      <c r="AO7" s="64">
        <v>360</v>
      </c>
      <c r="AP7" s="355"/>
      <c r="AQ7" s="355"/>
      <c r="AR7" s="262"/>
      <c r="AS7" s="351"/>
      <c r="AT7" s="358"/>
      <c r="AU7" s="243"/>
      <c r="AV7" s="361"/>
      <c r="AW7" s="344"/>
      <c r="AX7" s="364"/>
      <c r="AY7" s="243"/>
      <c r="AZ7" s="243"/>
      <c r="BA7" s="243"/>
      <c r="BB7" s="298"/>
    </row>
    <row r="8" spans="1:60" s="2" customFormat="1" ht="165.95" customHeight="1">
      <c r="A8" s="304"/>
      <c r="B8" s="262"/>
      <c r="C8" s="318"/>
      <c r="D8" s="268"/>
      <c r="E8" s="268"/>
      <c r="F8" s="320" t="s">
        <v>30</v>
      </c>
      <c r="G8" s="320" t="s">
        <v>104</v>
      </c>
      <c r="H8" s="330">
        <f>AA8/36794</f>
        <v>8.3818013806598896E-2</v>
      </c>
      <c r="I8" s="435"/>
      <c r="J8" s="283" t="s">
        <v>13</v>
      </c>
      <c r="K8" s="324" t="s">
        <v>31</v>
      </c>
      <c r="L8" s="282"/>
      <c r="M8" s="377" t="s">
        <v>74</v>
      </c>
      <c r="N8" s="391" t="s">
        <v>111</v>
      </c>
      <c r="O8" s="392"/>
      <c r="P8" s="393" t="s">
        <v>112</v>
      </c>
      <c r="Q8" s="276">
        <v>4000</v>
      </c>
      <c r="R8" s="275">
        <f>126+890+35</f>
        <v>1051</v>
      </c>
      <c r="S8" s="276">
        <v>2645</v>
      </c>
      <c r="T8" s="276">
        <v>0</v>
      </c>
      <c r="U8" s="276">
        <v>1</v>
      </c>
      <c r="V8" s="276">
        <v>78</v>
      </c>
      <c r="W8" s="276">
        <v>360</v>
      </c>
      <c r="X8" s="336">
        <f>SUM(T8:W9)</f>
        <v>439</v>
      </c>
      <c r="Y8" s="389">
        <f>X8/R8</f>
        <v>0.41769743101807805</v>
      </c>
      <c r="Z8" s="279"/>
      <c r="AA8" s="276">
        <f>S8+X8</f>
        <v>3084</v>
      </c>
      <c r="AB8" s="272">
        <f>AA8/Q8</f>
        <v>0.77100000000000002</v>
      </c>
      <c r="AC8" s="341"/>
      <c r="AD8" s="441"/>
      <c r="AE8" s="353"/>
      <c r="AF8" s="318"/>
      <c r="AG8" s="17" t="s">
        <v>122</v>
      </c>
      <c r="AH8" s="17" t="s">
        <v>125</v>
      </c>
      <c r="AI8" s="58">
        <f>2512-591-620+35</f>
        <v>1336</v>
      </c>
      <c r="AJ8" s="58">
        <v>1759</v>
      </c>
      <c r="AK8" s="61">
        <f t="shared" si="0"/>
        <v>1.3166167664670658</v>
      </c>
      <c r="AL8" s="425">
        <v>1</v>
      </c>
      <c r="AM8" s="18" t="s">
        <v>103</v>
      </c>
      <c r="AN8" s="18" t="s">
        <v>127</v>
      </c>
      <c r="AO8" s="64">
        <v>360</v>
      </c>
      <c r="AP8" s="355"/>
      <c r="AQ8" s="355"/>
      <c r="AR8" s="262"/>
      <c r="AS8" s="351"/>
      <c r="AT8" s="358"/>
      <c r="AU8" s="243"/>
      <c r="AV8" s="361"/>
      <c r="AW8" s="344"/>
      <c r="AX8" s="364"/>
      <c r="AY8" s="243"/>
      <c r="AZ8" s="243"/>
      <c r="BA8" s="243"/>
      <c r="BB8" s="298"/>
    </row>
    <row r="9" spans="1:60" s="2" customFormat="1" ht="202.5" customHeight="1" thickBot="1">
      <c r="A9" s="305"/>
      <c r="B9" s="306"/>
      <c r="C9" s="319"/>
      <c r="D9" s="269"/>
      <c r="E9" s="269"/>
      <c r="F9" s="321"/>
      <c r="G9" s="321"/>
      <c r="H9" s="331"/>
      <c r="I9" s="435"/>
      <c r="J9" s="284"/>
      <c r="K9" s="325"/>
      <c r="L9" s="284"/>
      <c r="M9" s="372"/>
      <c r="N9" s="387"/>
      <c r="O9" s="388"/>
      <c r="P9" s="388"/>
      <c r="Q9" s="277"/>
      <c r="R9" s="337"/>
      <c r="S9" s="277"/>
      <c r="T9" s="277"/>
      <c r="U9" s="277"/>
      <c r="V9" s="277"/>
      <c r="W9" s="277"/>
      <c r="X9" s="337"/>
      <c r="Y9" s="390"/>
      <c r="Z9" s="280"/>
      <c r="AA9" s="277"/>
      <c r="AB9" s="273"/>
      <c r="AC9" s="342"/>
      <c r="AD9" s="441"/>
      <c r="AE9" s="353"/>
      <c r="AF9" s="261"/>
      <c r="AG9" s="19" t="s">
        <v>119</v>
      </c>
      <c r="AH9" s="19" t="s">
        <v>126</v>
      </c>
      <c r="AI9" s="59">
        <v>126</v>
      </c>
      <c r="AJ9" s="59">
        <v>0</v>
      </c>
      <c r="AK9" s="62">
        <f t="shared" si="0"/>
        <v>0</v>
      </c>
      <c r="AL9" s="425">
        <f t="shared" ref="AL9" si="1">+(AJ9*AK9)/AI9</f>
        <v>0</v>
      </c>
      <c r="AM9" s="20" t="s">
        <v>103</v>
      </c>
      <c r="AN9" s="20" t="s">
        <v>127</v>
      </c>
      <c r="AO9" s="65">
        <v>360</v>
      </c>
      <c r="AP9" s="356"/>
      <c r="AQ9" s="356"/>
      <c r="AR9" s="255"/>
      <c r="AS9" s="352"/>
      <c r="AT9" s="359"/>
      <c r="AU9" s="244"/>
      <c r="AV9" s="362"/>
      <c r="AW9" s="345"/>
      <c r="AX9" s="365"/>
      <c r="AY9" s="244"/>
      <c r="AZ9" s="244"/>
      <c r="BA9" s="244"/>
      <c r="BB9" s="236"/>
    </row>
    <row r="10" spans="1:60" s="2" customFormat="1" ht="63.75" customHeight="1" thickBot="1">
      <c r="A10" s="415"/>
      <c r="B10" s="416"/>
      <c r="C10" s="417"/>
      <c r="D10" s="418"/>
      <c r="E10" s="418"/>
      <c r="F10" s="419"/>
      <c r="G10" s="419"/>
      <c r="H10" s="420"/>
      <c r="I10" s="436"/>
      <c r="J10" s="437" t="s">
        <v>201</v>
      </c>
      <c r="K10" s="438"/>
      <c r="L10" s="438"/>
      <c r="M10" s="438"/>
      <c r="N10" s="438"/>
      <c r="O10" s="438"/>
      <c r="P10" s="438"/>
      <c r="Q10" s="438"/>
      <c r="R10" s="438"/>
      <c r="S10" s="438"/>
      <c r="T10" s="438"/>
      <c r="U10" s="438"/>
      <c r="V10" s="438"/>
      <c r="W10" s="439"/>
      <c r="X10" s="422"/>
      <c r="Y10" s="423"/>
      <c r="Z10" s="424">
        <f>+Z6</f>
        <v>0.45655980401361684</v>
      </c>
      <c r="AA10" s="421"/>
      <c r="AB10" s="425"/>
      <c r="AC10" s="426">
        <f>+AC6</f>
        <v>0.69070000000000009</v>
      </c>
      <c r="AD10" s="442"/>
      <c r="AE10" s="443" t="s">
        <v>202</v>
      </c>
      <c r="AF10" s="444"/>
      <c r="AG10" s="444"/>
      <c r="AH10" s="444"/>
      <c r="AI10" s="444"/>
      <c r="AJ10" s="444"/>
      <c r="AK10" s="445"/>
      <c r="AL10" s="447">
        <f>AVERAGE(AL6:AL9)</f>
        <v>0.36999005997461187</v>
      </c>
      <c r="AM10" s="430"/>
      <c r="AN10" s="430"/>
      <c r="AO10" s="431"/>
      <c r="AP10" s="431"/>
      <c r="AQ10" s="431"/>
      <c r="AR10" s="416"/>
      <c r="AS10" s="432"/>
      <c r="AT10" s="223"/>
      <c r="AU10" s="225"/>
      <c r="AV10" s="228"/>
      <c r="AW10" s="433"/>
      <c r="AX10" s="451" t="s">
        <v>206</v>
      </c>
      <c r="AY10" s="225">
        <f>SUM(AY6)</f>
        <v>2711833802.6199999</v>
      </c>
      <c r="AZ10" s="225">
        <f t="shared" ref="AZ10:BA10" si="2">SUM(AZ6)</f>
        <v>4500000001</v>
      </c>
      <c r="BA10" s="225">
        <f t="shared" si="2"/>
        <v>4200000001</v>
      </c>
      <c r="BB10" s="233"/>
    </row>
    <row r="11" spans="1:60" s="1" customFormat="1" ht="195.95" customHeight="1">
      <c r="A11" s="303" t="s">
        <v>4</v>
      </c>
      <c r="B11" s="254" t="s">
        <v>5</v>
      </c>
      <c r="C11" s="369" t="s">
        <v>48</v>
      </c>
      <c r="D11" s="267" t="s">
        <v>32</v>
      </c>
      <c r="E11" s="267" t="s">
        <v>108</v>
      </c>
      <c r="F11" s="370" t="s">
        <v>34</v>
      </c>
      <c r="G11" s="370" t="s">
        <v>105</v>
      </c>
      <c r="H11" s="373">
        <f>(AA11+AA12)/19258</f>
        <v>0.12929691556755635</v>
      </c>
      <c r="I11" s="434" t="s">
        <v>7</v>
      </c>
      <c r="J11" s="55" t="s">
        <v>35</v>
      </c>
      <c r="K11" s="53" t="s">
        <v>62</v>
      </c>
      <c r="L11" s="267" t="s">
        <v>32</v>
      </c>
      <c r="M11" s="54" t="s">
        <v>37</v>
      </c>
      <c r="N11" s="386" t="s">
        <v>111</v>
      </c>
      <c r="O11" s="371"/>
      <c r="P11" s="379" t="s">
        <v>113</v>
      </c>
      <c r="Q11" s="43">
        <v>3500</v>
      </c>
      <c r="R11" s="43">
        <v>1500</v>
      </c>
      <c r="S11" s="43">
        <v>2002</v>
      </c>
      <c r="T11" s="43">
        <v>0</v>
      </c>
      <c r="U11" s="43">
        <v>0</v>
      </c>
      <c r="V11" s="43">
        <v>0</v>
      </c>
      <c r="W11" s="43">
        <v>88</v>
      </c>
      <c r="X11" s="43">
        <f>SUM(T11:W11)</f>
        <v>88</v>
      </c>
      <c r="Y11" s="91">
        <f>X11/R11</f>
        <v>5.8666666666666666E-2</v>
      </c>
      <c r="Z11" s="278">
        <f>(X11+X12)/(R11+R12)</f>
        <v>0.18455821635012387</v>
      </c>
      <c r="AA11" s="43">
        <f>S11+X11</f>
        <v>2090</v>
      </c>
      <c r="AB11" s="154">
        <f>AA11/Q11</f>
        <v>0.5971428571428572</v>
      </c>
      <c r="AC11" s="340">
        <f>(AA11+AA12)/(Q11+Q12)</f>
        <v>0.55333333333333334</v>
      </c>
      <c r="AD11" s="258" t="s">
        <v>22</v>
      </c>
      <c r="AE11" s="253" t="s">
        <v>25</v>
      </c>
      <c r="AF11" s="260" t="s">
        <v>19</v>
      </c>
      <c r="AG11" s="26" t="s">
        <v>190</v>
      </c>
      <c r="AH11" s="26" t="s">
        <v>189</v>
      </c>
      <c r="AI11" s="63">
        <f>R11</f>
        <v>1500</v>
      </c>
      <c r="AJ11" s="63">
        <v>1248</v>
      </c>
      <c r="AK11" s="60">
        <v>0.51519999999999999</v>
      </c>
      <c r="AL11" s="231">
        <f t="shared" ref="AL11:AL12" si="3">+(AJ11*AK11)/AI11</f>
        <v>0.42864639999999998</v>
      </c>
      <c r="AM11" s="25" t="s">
        <v>103</v>
      </c>
      <c r="AN11" s="25" t="s">
        <v>127</v>
      </c>
      <c r="AO11" s="63">
        <v>360</v>
      </c>
      <c r="AP11" s="354">
        <f>(Q11+Q12)*5</f>
        <v>22500</v>
      </c>
      <c r="AQ11" s="354">
        <f>(AA11+AA12)*5</f>
        <v>12450</v>
      </c>
      <c r="AR11" s="254" t="s">
        <v>11</v>
      </c>
      <c r="AS11" s="350" t="s">
        <v>157</v>
      </c>
      <c r="AT11" s="346" t="s">
        <v>67</v>
      </c>
      <c r="AU11" s="242">
        <f>7361763638+892065241</f>
        <v>8253828879</v>
      </c>
      <c r="AV11" s="360" t="s">
        <v>72</v>
      </c>
      <c r="AW11" s="343" t="s">
        <v>75</v>
      </c>
      <c r="AX11" s="348" t="s">
        <v>76</v>
      </c>
      <c r="AY11" s="242">
        <v>6672473906.4799995</v>
      </c>
      <c r="AZ11" s="242">
        <v>7361763638</v>
      </c>
      <c r="BA11" s="242">
        <v>7361763638</v>
      </c>
      <c r="BB11" s="235" t="s">
        <v>199</v>
      </c>
    </row>
    <row r="12" spans="1:60" s="1" customFormat="1" ht="195.95" customHeight="1" thickBot="1">
      <c r="A12" s="305"/>
      <c r="B12" s="306"/>
      <c r="C12" s="319"/>
      <c r="D12" s="269"/>
      <c r="E12" s="269"/>
      <c r="F12" s="321"/>
      <c r="G12" s="321"/>
      <c r="H12" s="331"/>
      <c r="I12" s="435"/>
      <c r="J12" s="105" t="s">
        <v>36</v>
      </c>
      <c r="K12" s="106" t="s">
        <v>63</v>
      </c>
      <c r="L12" s="269"/>
      <c r="M12" s="107" t="s">
        <v>38</v>
      </c>
      <c r="N12" s="387"/>
      <c r="O12" s="388"/>
      <c r="P12" s="385"/>
      <c r="Q12" s="77">
        <v>1000</v>
      </c>
      <c r="R12" s="77">
        <f>232+460+230</f>
        <v>922</v>
      </c>
      <c r="S12" s="77">
        <v>41</v>
      </c>
      <c r="T12" s="77">
        <v>0</v>
      </c>
      <c r="U12" s="77">
        <v>0</v>
      </c>
      <c r="V12" s="77">
        <v>82</v>
      </c>
      <c r="W12" s="77">
        <v>277</v>
      </c>
      <c r="X12" s="77">
        <f>SUM(T12:W12)</f>
        <v>359</v>
      </c>
      <c r="Y12" s="79">
        <f>X12/R12</f>
        <v>0.38937093275488072</v>
      </c>
      <c r="Z12" s="280"/>
      <c r="AA12" s="77">
        <f>S12+X12</f>
        <v>400</v>
      </c>
      <c r="AB12" s="182">
        <f>AA12/Q12</f>
        <v>0.4</v>
      </c>
      <c r="AC12" s="342"/>
      <c r="AD12" s="259"/>
      <c r="AE12" s="353"/>
      <c r="AF12" s="261"/>
      <c r="AG12" s="19" t="s">
        <v>191</v>
      </c>
      <c r="AH12" s="19" t="s">
        <v>192</v>
      </c>
      <c r="AI12" s="65">
        <f>R12</f>
        <v>922</v>
      </c>
      <c r="AJ12" s="65">
        <f>X11+X12</f>
        <v>447</v>
      </c>
      <c r="AK12" s="62">
        <f t="shared" si="0"/>
        <v>0.48481561822125813</v>
      </c>
      <c r="AL12" s="62">
        <f t="shared" si="3"/>
        <v>0.23504618367126073</v>
      </c>
      <c r="AM12" s="20" t="s">
        <v>103</v>
      </c>
      <c r="AN12" s="20" t="s">
        <v>127</v>
      </c>
      <c r="AO12" s="65">
        <v>360</v>
      </c>
      <c r="AP12" s="356"/>
      <c r="AQ12" s="356"/>
      <c r="AR12" s="255"/>
      <c r="AS12" s="366"/>
      <c r="AT12" s="347"/>
      <c r="AU12" s="244"/>
      <c r="AV12" s="362"/>
      <c r="AW12" s="345"/>
      <c r="AX12" s="349"/>
      <c r="AY12" s="244"/>
      <c r="AZ12" s="244"/>
      <c r="BA12" s="244"/>
      <c r="BB12" s="236"/>
    </row>
    <row r="13" spans="1:60" s="1" customFormat="1" ht="82.5" customHeight="1" thickBot="1">
      <c r="A13" s="452"/>
      <c r="B13" s="32"/>
      <c r="C13" s="453"/>
      <c r="D13" s="454"/>
      <c r="E13" s="454"/>
      <c r="F13" s="455"/>
      <c r="G13" s="455"/>
      <c r="H13" s="456"/>
      <c r="I13" s="436"/>
      <c r="J13" s="463" t="s">
        <v>207</v>
      </c>
      <c r="K13" s="464"/>
      <c r="L13" s="464"/>
      <c r="M13" s="464"/>
      <c r="N13" s="464"/>
      <c r="O13" s="464"/>
      <c r="P13" s="464"/>
      <c r="Q13" s="464"/>
      <c r="R13" s="464"/>
      <c r="S13" s="464"/>
      <c r="T13" s="464"/>
      <c r="U13" s="464"/>
      <c r="V13" s="464"/>
      <c r="W13" s="465"/>
      <c r="X13" s="457"/>
      <c r="Y13" s="458"/>
      <c r="Z13" s="459">
        <f>+Z11</f>
        <v>0.18455821635012387</v>
      </c>
      <c r="AA13" s="457"/>
      <c r="AB13" s="460"/>
      <c r="AC13" s="461">
        <f>+AC11</f>
        <v>0.55333333333333334</v>
      </c>
      <c r="AD13" s="427"/>
      <c r="AE13" s="466" t="s">
        <v>208</v>
      </c>
      <c r="AF13" s="466"/>
      <c r="AG13" s="466"/>
      <c r="AH13" s="466"/>
      <c r="AI13" s="466"/>
      <c r="AJ13" s="466"/>
      <c r="AK13" s="466"/>
      <c r="AL13" s="468">
        <f>AVERAGE(AL11:AL12)</f>
        <v>0.33184629183563036</v>
      </c>
      <c r="AM13" s="430"/>
      <c r="AN13" s="430"/>
      <c r="AO13" s="431"/>
      <c r="AP13" s="431"/>
      <c r="AQ13" s="431"/>
      <c r="AR13" s="416"/>
      <c r="AS13" s="462"/>
      <c r="AT13" s="223"/>
      <c r="AU13" s="226"/>
      <c r="AV13" s="229"/>
      <c r="AW13" s="433"/>
      <c r="AX13" s="451" t="s">
        <v>206</v>
      </c>
      <c r="AY13" s="226">
        <f>SUM(AY11)</f>
        <v>6672473906.4799995</v>
      </c>
      <c r="AZ13" s="226">
        <f t="shared" ref="AZ13:BA13" si="4">SUM(AZ11)</f>
        <v>7361763638</v>
      </c>
      <c r="BA13" s="226">
        <f t="shared" si="4"/>
        <v>7361763638</v>
      </c>
      <c r="BB13" s="234"/>
    </row>
    <row r="14" spans="1:60" s="1" customFormat="1" ht="228.95" customHeight="1" thickBot="1">
      <c r="A14" s="198" t="s">
        <v>4</v>
      </c>
      <c r="B14" s="42" t="s">
        <v>5</v>
      </c>
      <c r="C14" s="199" t="s">
        <v>49</v>
      </c>
      <c r="D14" s="158" t="s">
        <v>39</v>
      </c>
      <c r="E14" s="158" t="s">
        <v>109</v>
      </c>
      <c r="F14" s="192" t="s">
        <v>40</v>
      </c>
      <c r="G14" s="192" t="s">
        <v>106</v>
      </c>
      <c r="H14" s="193">
        <f>(AA14)/14770</f>
        <v>0.21198375084631008</v>
      </c>
      <c r="I14" s="434" t="s">
        <v>41</v>
      </c>
      <c r="J14" s="156" t="s">
        <v>50</v>
      </c>
      <c r="K14" s="157" t="s">
        <v>64</v>
      </c>
      <c r="L14" s="158" t="s">
        <v>39</v>
      </c>
      <c r="M14" s="159" t="s">
        <v>42</v>
      </c>
      <c r="N14" s="194" t="s">
        <v>111</v>
      </c>
      <c r="O14" s="194"/>
      <c r="P14" s="195" t="s">
        <v>114</v>
      </c>
      <c r="Q14" s="175">
        <v>4500</v>
      </c>
      <c r="R14" s="175">
        <f>1518+1314</f>
        <v>2832</v>
      </c>
      <c r="S14" s="175">
        <v>1668</v>
      </c>
      <c r="T14" s="175">
        <v>108</v>
      </c>
      <c r="U14" s="175">
        <v>385</v>
      </c>
      <c r="V14" s="175">
        <v>517</v>
      </c>
      <c r="W14" s="175">
        <v>453</v>
      </c>
      <c r="X14" s="175">
        <f>SUM(T14:W14)</f>
        <v>1463</v>
      </c>
      <c r="Y14" s="176">
        <f>X14/R14</f>
        <v>0.51659604519774016</v>
      </c>
      <c r="Z14" s="196">
        <f>Y14</f>
        <v>0.51659604519774016</v>
      </c>
      <c r="AA14" s="175">
        <f>S14+X14</f>
        <v>3131</v>
      </c>
      <c r="AB14" s="176">
        <f>AA14/Q14</f>
        <v>0.69577777777777783</v>
      </c>
      <c r="AC14" s="197">
        <f>AB14</f>
        <v>0.69577777777777783</v>
      </c>
      <c r="AD14" s="440" t="s">
        <v>23</v>
      </c>
      <c r="AE14" s="44" t="s">
        <v>26</v>
      </c>
      <c r="AF14" s="45" t="s">
        <v>20</v>
      </c>
      <c r="AG14" s="40" t="s">
        <v>51</v>
      </c>
      <c r="AH14" s="40" t="s">
        <v>128</v>
      </c>
      <c r="AI14" s="66">
        <f>R14</f>
        <v>2832</v>
      </c>
      <c r="AJ14" s="66">
        <f>X14</f>
        <v>1463</v>
      </c>
      <c r="AK14" s="67">
        <v>1</v>
      </c>
      <c r="AL14" s="467">
        <f>+AJ14/AI14</f>
        <v>0.51659604519774016</v>
      </c>
      <c r="AM14" s="41" t="s">
        <v>103</v>
      </c>
      <c r="AN14" s="41" t="s">
        <v>127</v>
      </c>
      <c r="AO14" s="46">
        <v>360</v>
      </c>
      <c r="AP14" s="66">
        <f>Q14*5</f>
        <v>22500</v>
      </c>
      <c r="AQ14" s="66">
        <f>AA14*5</f>
        <v>15655</v>
      </c>
      <c r="AR14" s="42" t="s">
        <v>52</v>
      </c>
      <c r="AS14" s="51" t="s">
        <v>84</v>
      </c>
      <c r="AT14" s="115" t="s">
        <v>67</v>
      </c>
      <c r="AU14" s="47">
        <f>169000000+106700184</f>
        <v>275700184</v>
      </c>
      <c r="AV14" s="48" t="s">
        <v>72</v>
      </c>
      <c r="AW14" s="491" t="s">
        <v>77</v>
      </c>
      <c r="AX14" s="112" t="s">
        <v>78</v>
      </c>
      <c r="AY14" s="224">
        <v>65283867</v>
      </c>
      <c r="AZ14" s="224">
        <v>275700184</v>
      </c>
      <c r="BA14" s="224">
        <v>275700184</v>
      </c>
      <c r="BB14" s="218" t="s">
        <v>200</v>
      </c>
      <c r="BD14"/>
      <c r="BH14"/>
    </row>
    <row r="15" spans="1:60" s="1" customFormat="1" ht="69" customHeight="1" thickBot="1">
      <c r="A15" s="469"/>
      <c r="B15" s="470"/>
      <c r="C15" s="471"/>
      <c r="D15" s="472"/>
      <c r="E15" s="472"/>
      <c r="F15" s="473"/>
      <c r="G15" s="473"/>
      <c r="H15" s="474"/>
      <c r="I15" s="436"/>
      <c r="J15" s="483" t="s">
        <v>209</v>
      </c>
      <c r="K15" s="484"/>
      <c r="L15" s="484"/>
      <c r="M15" s="484"/>
      <c r="N15" s="484"/>
      <c r="O15" s="484"/>
      <c r="P15" s="484"/>
      <c r="Q15" s="485"/>
      <c r="R15" s="485"/>
      <c r="S15" s="485"/>
      <c r="T15" s="485"/>
      <c r="U15" s="485"/>
      <c r="V15" s="485"/>
      <c r="W15" s="486"/>
      <c r="X15" s="475"/>
      <c r="Y15" s="476"/>
      <c r="Z15" s="477">
        <f>+Z14</f>
        <v>0.51659604519774016</v>
      </c>
      <c r="AA15" s="475"/>
      <c r="AB15" s="476"/>
      <c r="AC15" s="478">
        <f>+AC14</f>
        <v>0.69577777777777783</v>
      </c>
      <c r="AD15" s="442"/>
      <c r="AE15" s="487" t="s">
        <v>210</v>
      </c>
      <c r="AF15" s="488"/>
      <c r="AG15" s="488"/>
      <c r="AH15" s="488"/>
      <c r="AI15" s="488"/>
      <c r="AJ15" s="488"/>
      <c r="AK15" s="489"/>
      <c r="AL15" s="490">
        <f>+AL14</f>
        <v>0.51659604519774016</v>
      </c>
      <c r="AM15" s="480"/>
      <c r="AN15" s="480"/>
      <c r="AO15" s="481"/>
      <c r="AP15" s="479"/>
      <c r="AQ15" s="479"/>
      <c r="AR15" s="470"/>
      <c r="AS15" s="482"/>
      <c r="AT15" s="222"/>
      <c r="AU15" s="224"/>
      <c r="AV15" s="227"/>
      <c r="AW15" s="492"/>
      <c r="AX15" s="451" t="s">
        <v>206</v>
      </c>
      <c r="AY15" s="495">
        <f>+AY14</f>
        <v>65283867</v>
      </c>
      <c r="AZ15" s="495">
        <f>+AZ14</f>
        <v>275700184</v>
      </c>
      <c r="BA15" s="495">
        <f>+BA14</f>
        <v>275700184</v>
      </c>
      <c r="BB15" s="493"/>
      <c r="BD15"/>
      <c r="BH15"/>
    </row>
    <row r="16" spans="1:60" s="1" customFormat="1" ht="252">
      <c r="A16" s="87" t="s">
        <v>4</v>
      </c>
      <c r="B16" s="75" t="s">
        <v>5</v>
      </c>
      <c r="C16" s="69" t="s">
        <v>9</v>
      </c>
      <c r="D16" s="69" t="s">
        <v>9</v>
      </c>
      <c r="E16" s="69" t="s">
        <v>9</v>
      </c>
      <c r="F16" s="69" t="s">
        <v>118</v>
      </c>
      <c r="G16" s="69" t="s">
        <v>118</v>
      </c>
      <c r="H16" s="69" t="s">
        <v>118</v>
      </c>
      <c r="I16" s="509" t="s">
        <v>10</v>
      </c>
      <c r="J16" s="183" t="s">
        <v>141</v>
      </c>
      <c r="K16" s="89" t="s">
        <v>142</v>
      </c>
      <c r="L16" s="123" t="s">
        <v>9</v>
      </c>
      <c r="M16" s="88" t="s">
        <v>143</v>
      </c>
      <c r="N16" s="90"/>
      <c r="O16" s="90" t="s">
        <v>111</v>
      </c>
      <c r="P16" s="89" t="s">
        <v>146</v>
      </c>
      <c r="Q16" s="43">
        <v>2</v>
      </c>
      <c r="R16" s="43" t="s">
        <v>133</v>
      </c>
      <c r="S16" s="43">
        <v>2</v>
      </c>
      <c r="T16" s="43" t="s">
        <v>133</v>
      </c>
      <c r="U16" s="43" t="s">
        <v>133</v>
      </c>
      <c r="V16" s="43" t="s">
        <v>133</v>
      </c>
      <c r="W16" s="43" t="s">
        <v>133</v>
      </c>
      <c r="X16" s="43" t="s">
        <v>133</v>
      </c>
      <c r="Y16" s="91" t="s">
        <v>133</v>
      </c>
      <c r="Z16" s="128" t="s">
        <v>133</v>
      </c>
      <c r="AA16" s="43">
        <f>S16</f>
        <v>2</v>
      </c>
      <c r="AB16" s="109">
        <f>AA16/Q16</f>
        <v>1</v>
      </c>
      <c r="AC16" s="129">
        <f>AB16</f>
        <v>1</v>
      </c>
      <c r="AD16" s="96" t="s">
        <v>133</v>
      </c>
      <c r="AE16" s="74"/>
      <c r="AF16" s="69" t="s">
        <v>133</v>
      </c>
      <c r="AG16" s="57" t="s">
        <v>133</v>
      </c>
      <c r="AH16" s="57" t="s">
        <v>133</v>
      </c>
      <c r="AI16" s="57" t="s">
        <v>133</v>
      </c>
      <c r="AJ16" s="57" t="s">
        <v>133</v>
      </c>
      <c r="AK16" s="57" t="s">
        <v>133</v>
      </c>
      <c r="AL16" s="57"/>
      <c r="AM16" s="57" t="s">
        <v>133</v>
      </c>
      <c r="AN16" s="57" t="s">
        <v>133</v>
      </c>
      <c r="AO16" s="57" t="s">
        <v>133</v>
      </c>
      <c r="AP16" s="57" t="s">
        <v>133</v>
      </c>
      <c r="AQ16" s="57" t="s">
        <v>133</v>
      </c>
      <c r="AR16" s="57" t="s">
        <v>133</v>
      </c>
      <c r="AS16" s="131" t="s">
        <v>133</v>
      </c>
      <c r="AT16" s="132" t="s">
        <v>133</v>
      </c>
      <c r="AU16" s="57" t="s">
        <v>133</v>
      </c>
      <c r="AV16" s="57" t="s">
        <v>133</v>
      </c>
      <c r="AW16" s="57" t="s">
        <v>133</v>
      </c>
      <c r="AX16" s="57"/>
      <c r="AY16" s="100" t="s">
        <v>133</v>
      </c>
      <c r="AZ16" s="494"/>
      <c r="BA16" s="494"/>
      <c r="BB16" s="187" t="s">
        <v>172</v>
      </c>
      <c r="BD16"/>
      <c r="BH16"/>
    </row>
    <row r="17" spans="1:60" s="1" customFormat="1" ht="234" customHeight="1" thickBot="1">
      <c r="A17" s="200" t="s">
        <v>4</v>
      </c>
      <c r="B17" s="190" t="s">
        <v>5</v>
      </c>
      <c r="C17" s="201" t="s">
        <v>9</v>
      </c>
      <c r="D17" s="201" t="s">
        <v>9</v>
      </c>
      <c r="E17" s="201" t="s">
        <v>9</v>
      </c>
      <c r="F17" s="201" t="s">
        <v>118</v>
      </c>
      <c r="G17" s="201" t="s">
        <v>118</v>
      </c>
      <c r="H17" s="201" t="s">
        <v>118</v>
      </c>
      <c r="I17" s="510"/>
      <c r="J17" s="202" t="s">
        <v>168</v>
      </c>
      <c r="K17" s="203" t="s">
        <v>144</v>
      </c>
      <c r="L17" s="204" t="s">
        <v>9</v>
      </c>
      <c r="M17" s="205" t="s">
        <v>145</v>
      </c>
      <c r="N17" s="206" t="s">
        <v>111</v>
      </c>
      <c r="O17" s="206"/>
      <c r="P17" s="207" t="s">
        <v>147</v>
      </c>
      <c r="Q17" s="161">
        <v>10</v>
      </c>
      <c r="R17" s="161" t="s">
        <v>133</v>
      </c>
      <c r="S17" s="161" t="s">
        <v>133</v>
      </c>
      <c r="T17" s="161" t="s">
        <v>133</v>
      </c>
      <c r="U17" s="161" t="s">
        <v>133</v>
      </c>
      <c r="V17" s="161" t="s">
        <v>133</v>
      </c>
      <c r="W17" s="219" t="s">
        <v>133</v>
      </c>
      <c r="X17" s="219" t="str">
        <f>T17</f>
        <v>NP</v>
      </c>
      <c r="Y17" s="230" t="s">
        <v>133</v>
      </c>
      <c r="Z17" s="515" t="s">
        <v>133</v>
      </c>
      <c r="AA17" s="219" t="s">
        <v>133</v>
      </c>
      <c r="AB17" s="230" t="s">
        <v>133</v>
      </c>
      <c r="AC17" s="516" t="s">
        <v>133</v>
      </c>
      <c r="AD17" s="513" t="s">
        <v>133</v>
      </c>
      <c r="AE17" s="33"/>
      <c r="AF17" s="68" t="s">
        <v>133</v>
      </c>
      <c r="AG17" s="98" t="s">
        <v>133</v>
      </c>
      <c r="AH17" s="98" t="s">
        <v>133</v>
      </c>
      <c r="AI17" s="98" t="s">
        <v>133</v>
      </c>
      <c r="AJ17" s="98" t="s">
        <v>133</v>
      </c>
      <c r="AK17" s="98" t="s">
        <v>133</v>
      </c>
      <c r="AL17" s="98"/>
      <c r="AM17" s="98" t="s">
        <v>133</v>
      </c>
      <c r="AN17" s="98" t="s">
        <v>133</v>
      </c>
      <c r="AO17" s="98" t="s">
        <v>133</v>
      </c>
      <c r="AP17" s="98" t="s">
        <v>133</v>
      </c>
      <c r="AQ17" s="98" t="s">
        <v>133</v>
      </c>
      <c r="AR17" s="98" t="s">
        <v>133</v>
      </c>
      <c r="AS17" s="99" t="s">
        <v>133</v>
      </c>
      <c r="AT17" s="130" t="s">
        <v>133</v>
      </c>
      <c r="AU17" s="98" t="s">
        <v>133</v>
      </c>
      <c r="AV17" s="98" t="s">
        <v>133</v>
      </c>
      <c r="AW17" s="98" t="s">
        <v>133</v>
      </c>
      <c r="AX17" s="98"/>
      <c r="AY17" s="99" t="s">
        <v>133</v>
      </c>
      <c r="AZ17" s="448"/>
      <c r="BA17" s="448"/>
      <c r="BB17" s="150" t="s">
        <v>171</v>
      </c>
      <c r="BD17"/>
      <c r="BH17"/>
    </row>
    <row r="18" spans="1:60" s="1" customFormat="1" ht="66.75" customHeight="1" thickBot="1">
      <c r="A18" s="415"/>
      <c r="B18" s="416"/>
      <c r="C18" s="500"/>
      <c r="D18" s="500"/>
      <c r="E18" s="500"/>
      <c r="F18" s="500"/>
      <c r="G18" s="500"/>
      <c r="H18" s="500"/>
      <c r="I18" s="511"/>
      <c r="J18" s="512" t="s">
        <v>211</v>
      </c>
      <c r="K18" s="512"/>
      <c r="L18" s="512"/>
      <c r="M18" s="512"/>
      <c r="N18" s="512"/>
      <c r="O18" s="512"/>
      <c r="P18" s="512"/>
      <c r="Q18" s="512"/>
      <c r="R18" s="512"/>
      <c r="S18" s="512"/>
      <c r="T18" s="512"/>
      <c r="U18" s="512"/>
      <c r="V18" s="512"/>
      <c r="W18" s="514"/>
      <c r="X18" s="422"/>
      <c r="Y18" s="502"/>
      <c r="Z18" s="503"/>
      <c r="AA18" s="422"/>
      <c r="AB18" s="502"/>
      <c r="AC18" s="517">
        <v>1</v>
      </c>
      <c r="AD18" s="499"/>
      <c r="AE18" s="428"/>
      <c r="AF18" s="500"/>
      <c r="AG18" s="429"/>
      <c r="AH18" s="429"/>
      <c r="AI18" s="429"/>
      <c r="AJ18" s="429"/>
      <c r="AK18" s="429"/>
      <c r="AL18" s="429"/>
      <c r="AM18" s="429"/>
      <c r="AN18" s="429"/>
      <c r="AO18" s="429"/>
      <c r="AP18" s="429"/>
      <c r="AQ18" s="429"/>
      <c r="AR18" s="429"/>
      <c r="AS18" s="501"/>
      <c r="AT18" s="504"/>
      <c r="AU18" s="505"/>
      <c r="AV18" s="429"/>
      <c r="AW18" s="429"/>
      <c r="AX18" s="506"/>
      <c r="AY18" s="501"/>
      <c r="AZ18" s="507"/>
      <c r="BA18" s="507"/>
      <c r="BB18" s="508"/>
      <c r="BD18"/>
      <c r="BH18"/>
    </row>
    <row r="19" spans="1:60" s="1" customFormat="1" ht="92.25" customHeight="1">
      <c r="A19" s="303" t="s">
        <v>4</v>
      </c>
      <c r="B19" s="254" t="s">
        <v>5</v>
      </c>
      <c r="C19" s="367" t="s">
        <v>9</v>
      </c>
      <c r="D19" s="367" t="s">
        <v>9</v>
      </c>
      <c r="E19" s="367" t="s">
        <v>9</v>
      </c>
      <c r="F19" s="367" t="s">
        <v>118</v>
      </c>
      <c r="G19" s="367" t="s">
        <v>118</v>
      </c>
      <c r="H19" s="373" t="s">
        <v>118</v>
      </c>
      <c r="I19" s="524" t="s">
        <v>68</v>
      </c>
      <c r="J19" s="89" t="s">
        <v>148</v>
      </c>
      <c r="K19" s="89" t="s">
        <v>149</v>
      </c>
      <c r="L19" s="123" t="s">
        <v>9</v>
      </c>
      <c r="M19" s="88" t="s">
        <v>150</v>
      </c>
      <c r="N19" s="90"/>
      <c r="O19" s="90" t="s">
        <v>111</v>
      </c>
      <c r="P19" s="88" t="s">
        <v>149</v>
      </c>
      <c r="Q19" s="43">
        <v>4</v>
      </c>
      <c r="R19" s="43" t="s">
        <v>133</v>
      </c>
      <c r="S19" s="43" t="s">
        <v>133</v>
      </c>
      <c r="T19" s="43" t="s">
        <v>133</v>
      </c>
      <c r="U19" s="43" t="s">
        <v>133</v>
      </c>
      <c r="V19" s="43" t="s">
        <v>133</v>
      </c>
      <c r="W19" s="43" t="s">
        <v>133</v>
      </c>
      <c r="X19" s="43" t="s">
        <v>133</v>
      </c>
      <c r="Y19" s="230" t="s">
        <v>133</v>
      </c>
      <c r="Z19" s="526">
        <f>AVERAGE(Y20:Y22)</f>
        <v>1</v>
      </c>
      <c r="AA19" s="219" t="s">
        <v>133</v>
      </c>
      <c r="AB19" s="230" t="s">
        <v>133</v>
      </c>
      <c r="AC19" s="522">
        <f>AVERAGE(AB20:AB22)</f>
        <v>1</v>
      </c>
      <c r="AD19" s="518" t="s">
        <v>133</v>
      </c>
      <c r="AE19" s="57"/>
      <c r="AF19" s="57" t="s">
        <v>133</v>
      </c>
      <c r="AG19" s="57" t="s">
        <v>133</v>
      </c>
      <c r="AH19" s="57" t="s">
        <v>133</v>
      </c>
      <c r="AI19" s="57" t="s">
        <v>133</v>
      </c>
      <c r="AJ19" s="57" t="s">
        <v>133</v>
      </c>
      <c r="AK19" s="57" t="s">
        <v>133</v>
      </c>
      <c r="AL19" s="57"/>
      <c r="AM19" s="57" t="s">
        <v>133</v>
      </c>
      <c r="AN19" s="57" t="s">
        <v>133</v>
      </c>
      <c r="AO19" s="57" t="s">
        <v>133</v>
      </c>
      <c r="AP19" s="57" t="s">
        <v>133</v>
      </c>
      <c r="AQ19" s="57" t="s">
        <v>133</v>
      </c>
      <c r="AR19" s="57" t="s">
        <v>133</v>
      </c>
      <c r="AS19" s="131" t="s">
        <v>133</v>
      </c>
      <c r="AT19" s="208" t="s">
        <v>133</v>
      </c>
      <c r="AU19" s="209" t="s">
        <v>133</v>
      </c>
      <c r="AV19" s="210" t="s">
        <v>133</v>
      </c>
      <c r="AW19" s="69" t="s">
        <v>133</v>
      </c>
      <c r="AX19" s="211" t="s">
        <v>133</v>
      </c>
      <c r="AY19" s="212" t="s">
        <v>133</v>
      </c>
      <c r="AZ19" s="449"/>
      <c r="BA19" s="449"/>
      <c r="BB19" s="213" t="s">
        <v>183</v>
      </c>
      <c r="BD19"/>
      <c r="BH19"/>
    </row>
    <row r="20" spans="1:60" s="1" customFormat="1" ht="350.1" customHeight="1">
      <c r="A20" s="304"/>
      <c r="B20" s="262"/>
      <c r="C20" s="368"/>
      <c r="D20" s="368"/>
      <c r="E20" s="368"/>
      <c r="F20" s="368"/>
      <c r="G20" s="368"/>
      <c r="H20" s="330"/>
      <c r="I20" s="525"/>
      <c r="J20" s="184" t="s">
        <v>44</v>
      </c>
      <c r="K20" s="102" t="s">
        <v>65</v>
      </c>
      <c r="L20" s="125" t="s">
        <v>9</v>
      </c>
      <c r="M20" s="103" t="s">
        <v>53</v>
      </c>
      <c r="N20" s="86" t="s">
        <v>111</v>
      </c>
      <c r="O20" s="103"/>
      <c r="P20" s="104" t="s">
        <v>115</v>
      </c>
      <c r="Q20" s="73">
        <v>3</v>
      </c>
      <c r="R20" s="64">
        <v>1</v>
      </c>
      <c r="S20" s="64">
        <v>2</v>
      </c>
      <c r="T20" s="64">
        <v>0</v>
      </c>
      <c r="U20" s="148">
        <v>0.3</v>
      </c>
      <c r="V20" s="148">
        <v>0.6</v>
      </c>
      <c r="W20" s="148">
        <v>0.1</v>
      </c>
      <c r="X20" s="64">
        <f>SUM(T20:W20)</f>
        <v>0.99999999999999989</v>
      </c>
      <c r="Y20" s="94">
        <f>X20/R20</f>
        <v>0.99999999999999989</v>
      </c>
      <c r="Z20" s="279"/>
      <c r="AA20" s="220">
        <f>S20+X20</f>
        <v>3</v>
      </c>
      <c r="AB20" s="185">
        <f>AA20/Q20</f>
        <v>1</v>
      </c>
      <c r="AC20" s="522"/>
      <c r="AD20" s="519" t="s">
        <v>54</v>
      </c>
      <c r="AE20" s="22" t="s">
        <v>27</v>
      </c>
      <c r="AF20" s="84" t="s">
        <v>12</v>
      </c>
      <c r="AG20" s="27" t="s">
        <v>86</v>
      </c>
      <c r="AH20" s="27" t="s">
        <v>156</v>
      </c>
      <c r="AI20" s="21">
        <f>R20</f>
        <v>1</v>
      </c>
      <c r="AJ20" s="21">
        <f>X20</f>
        <v>0.99999999999999989</v>
      </c>
      <c r="AK20" s="153">
        <f>AJ20/AI20</f>
        <v>0.99999999999999989</v>
      </c>
      <c r="AL20" s="153"/>
      <c r="AM20" s="29" t="s">
        <v>103</v>
      </c>
      <c r="AN20" s="29" t="s">
        <v>127</v>
      </c>
      <c r="AO20" s="28">
        <v>360</v>
      </c>
      <c r="AP20" s="21">
        <f>70822*4</f>
        <v>283288</v>
      </c>
      <c r="AQ20" s="21">
        <f>AP20</f>
        <v>283288</v>
      </c>
      <c r="AR20" s="23" t="s">
        <v>69</v>
      </c>
      <c r="AS20" s="49" t="s">
        <v>85</v>
      </c>
      <c r="AT20" s="116" t="s">
        <v>67</v>
      </c>
      <c r="AU20" s="30">
        <f>62000000+82078418.72</f>
        <v>144078418.72</v>
      </c>
      <c r="AV20" s="14" t="s">
        <v>72</v>
      </c>
      <c r="AW20" s="31" t="s">
        <v>54</v>
      </c>
      <c r="AX20" s="113" t="s">
        <v>79</v>
      </c>
      <c r="AY20" s="216">
        <v>91104885</v>
      </c>
      <c r="AZ20" s="30">
        <f t="shared" ref="AZ20:BA20" si="5">62000000+82078418.72</f>
        <v>144078418.72</v>
      </c>
      <c r="BA20" s="30">
        <f t="shared" si="5"/>
        <v>144078418.72</v>
      </c>
      <c r="BB20" s="214" t="s">
        <v>196</v>
      </c>
    </row>
    <row r="21" spans="1:60" s="1" customFormat="1" ht="74.25" customHeight="1">
      <c r="A21" s="304"/>
      <c r="B21" s="262"/>
      <c r="C21" s="368"/>
      <c r="D21" s="368"/>
      <c r="E21" s="368"/>
      <c r="F21" s="368"/>
      <c r="G21" s="368"/>
      <c r="H21" s="330"/>
      <c r="I21" s="525"/>
      <c r="J21" s="184" t="s">
        <v>153</v>
      </c>
      <c r="K21" s="184" t="s">
        <v>151</v>
      </c>
      <c r="L21" s="125" t="s">
        <v>9</v>
      </c>
      <c r="M21" s="85" t="s">
        <v>152</v>
      </c>
      <c r="N21" s="86"/>
      <c r="O21" s="86" t="s">
        <v>111</v>
      </c>
      <c r="P21" s="85" t="s">
        <v>154</v>
      </c>
      <c r="Q21" s="73">
        <v>1</v>
      </c>
      <c r="R21" s="64" t="s">
        <v>133</v>
      </c>
      <c r="S21" s="64">
        <v>1</v>
      </c>
      <c r="T21" s="64" t="s">
        <v>133</v>
      </c>
      <c r="U21" s="64" t="s">
        <v>133</v>
      </c>
      <c r="V21" s="64" t="s">
        <v>133</v>
      </c>
      <c r="W21" s="64" t="s">
        <v>133</v>
      </c>
      <c r="X21" s="64" t="s">
        <v>133</v>
      </c>
      <c r="Y21" s="94" t="s">
        <v>133</v>
      </c>
      <c r="Z21" s="279"/>
      <c r="AA21" s="220">
        <f>S21</f>
        <v>1</v>
      </c>
      <c r="AB21" s="185">
        <f>AA21/Q21</f>
        <v>1</v>
      </c>
      <c r="AC21" s="522"/>
      <c r="AD21" s="520" t="s">
        <v>133</v>
      </c>
      <c r="AE21" s="22"/>
      <c r="AF21" s="70" t="s">
        <v>133</v>
      </c>
      <c r="AG21" s="97" t="s">
        <v>133</v>
      </c>
      <c r="AH21" s="97" t="s">
        <v>133</v>
      </c>
      <c r="AI21" s="97" t="s">
        <v>133</v>
      </c>
      <c r="AJ21" s="97" t="s">
        <v>133</v>
      </c>
      <c r="AK21" s="97" t="s">
        <v>133</v>
      </c>
      <c r="AL21" s="97"/>
      <c r="AM21" s="97" t="s">
        <v>133</v>
      </c>
      <c r="AN21" s="97" t="s">
        <v>133</v>
      </c>
      <c r="AO21" s="97" t="s">
        <v>133</v>
      </c>
      <c r="AP21" s="97" t="s">
        <v>133</v>
      </c>
      <c r="AQ21" s="97" t="s">
        <v>133</v>
      </c>
      <c r="AR21" s="97" t="s">
        <v>133</v>
      </c>
      <c r="AS21" s="100" t="s">
        <v>133</v>
      </c>
      <c r="AT21" s="117" t="s">
        <v>133</v>
      </c>
      <c r="AU21" s="118" t="s">
        <v>133</v>
      </c>
      <c r="AV21" s="119" t="s">
        <v>133</v>
      </c>
      <c r="AW21" s="120" t="s">
        <v>133</v>
      </c>
      <c r="AX21" s="122" t="s">
        <v>133</v>
      </c>
      <c r="AY21" s="121" t="s">
        <v>133</v>
      </c>
      <c r="AZ21" s="450"/>
      <c r="BA21" s="450"/>
      <c r="BB21" s="215" t="s">
        <v>172</v>
      </c>
    </row>
    <row r="22" spans="1:60" s="1" customFormat="1" ht="279.95" customHeight="1" thickBot="1">
      <c r="A22" s="92" t="s">
        <v>4</v>
      </c>
      <c r="B22" s="76" t="s">
        <v>5</v>
      </c>
      <c r="C22" s="124" t="s">
        <v>9</v>
      </c>
      <c r="D22" s="124" t="s">
        <v>9</v>
      </c>
      <c r="E22" s="124" t="s">
        <v>9</v>
      </c>
      <c r="F22" s="124" t="s">
        <v>118</v>
      </c>
      <c r="G22" s="124" t="s">
        <v>118</v>
      </c>
      <c r="H22" s="191" t="s">
        <v>118</v>
      </c>
      <c r="I22" s="525"/>
      <c r="J22" s="186" t="s">
        <v>43</v>
      </c>
      <c r="K22" s="106" t="s">
        <v>66</v>
      </c>
      <c r="L22" s="126" t="s">
        <v>9</v>
      </c>
      <c r="M22" s="107" t="s">
        <v>55</v>
      </c>
      <c r="N22" s="93" t="s">
        <v>111</v>
      </c>
      <c r="O22" s="107"/>
      <c r="P22" s="110" t="s">
        <v>116</v>
      </c>
      <c r="Q22" s="77">
        <v>6</v>
      </c>
      <c r="R22" s="78">
        <v>5.0999999999999996</v>
      </c>
      <c r="S22" s="78">
        <v>0.9</v>
      </c>
      <c r="T22" s="78">
        <v>0.3</v>
      </c>
      <c r="U22" s="78">
        <v>2.1</v>
      </c>
      <c r="V22" s="78">
        <v>1.1000000000000001</v>
      </c>
      <c r="W22" s="527">
        <v>1.6</v>
      </c>
      <c r="X22" s="527">
        <f>SUM(T22:W22)</f>
        <v>5.0999999999999996</v>
      </c>
      <c r="Y22" s="496">
        <f>X22/R22</f>
        <v>1</v>
      </c>
      <c r="Z22" s="497"/>
      <c r="AA22" s="221">
        <f>S22+X22</f>
        <v>6</v>
      </c>
      <c r="AB22" s="498">
        <f>AA22/Q22</f>
        <v>1</v>
      </c>
      <c r="AC22" s="528"/>
      <c r="AD22" s="521" t="s">
        <v>56</v>
      </c>
      <c r="AE22" s="33" t="s">
        <v>28</v>
      </c>
      <c r="AF22" s="34" t="s">
        <v>57</v>
      </c>
      <c r="AG22" s="35" t="s">
        <v>70</v>
      </c>
      <c r="AH22" s="35" t="s">
        <v>129</v>
      </c>
      <c r="AI22" s="37">
        <f>R22</f>
        <v>5.0999999999999996</v>
      </c>
      <c r="AJ22" s="37">
        <f>X22</f>
        <v>5.0999999999999996</v>
      </c>
      <c r="AK22" s="152">
        <f>AJ22/AI22</f>
        <v>1</v>
      </c>
      <c r="AL22" s="446"/>
      <c r="AM22" s="38" t="s">
        <v>103</v>
      </c>
      <c r="AN22" s="38" t="s">
        <v>127</v>
      </c>
      <c r="AO22" s="36">
        <v>360</v>
      </c>
      <c r="AP22" s="36">
        <f>19258*4</f>
        <v>77032</v>
      </c>
      <c r="AQ22" s="36">
        <f>AP22</f>
        <v>77032</v>
      </c>
      <c r="AR22" s="32" t="s">
        <v>69</v>
      </c>
      <c r="AS22" s="50" t="s">
        <v>85</v>
      </c>
      <c r="AT22" s="114" t="s">
        <v>67</v>
      </c>
      <c r="AU22" s="151">
        <f>177538554+131253931.47</f>
        <v>308792485.47000003</v>
      </c>
      <c r="AV22" s="52" t="s">
        <v>72</v>
      </c>
      <c r="AW22" s="39" t="s">
        <v>56</v>
      </c>
      <c r="AX22" s="111" t="s">
        <v>80</v>
      </c>
      <c r="AY22" s="217">
        <v>204102816</v>
      </c>
      <c r="AZ22" s="217">
        <v>177538554</v>
      </c>
      <c r="BA22" s="217">
        <v>177538554</v>
      </c>
      <c r="BB22" s="189" t="s">
        <v>197</v>
      </c>
    </row>
    <row r="23" spans="1:60" ht="34.5" thickBot="1">
      <c r="A23" s="72" t="s">
        <v>132</v>
      </c>
      <c r="I23" s="525"/>
      <c r="J23" s="523" t="s">
        <v>212</v>
      </c>
      <c r="K23" s="523"/>
      <c r="L23" s="523"/>
      <c r="M23" s="523"/>
      <c r="N23" s="523"/>
      <c r="O23" s="523"/>
      <c r="P23" s="523"/>
      <c r="Q23" s="523"/>
      <c r="R23" s="523"/>
      <c r="S23" s="523"/>
      <c r="T23" s="523"/>
      <c r="U23" s="523"/>
      <c r="V23" s="523"/>
      <c r="W23" s="529"/>
      <c r="X23" s="529"/>
      <c r="Y23" s="530"/>
      <c r="Z23" s="531">
        <f>+Z19</f>
        <v>1</v>
      </c>
      <c r="AA23" s="529"/>
      <c r="AB23" s="530"/>
      <c r="AC23" s="531">
        <f>+AC19</f>
        <v>1</v>
      </c>
      <c r="AT23" s="71" t="s">
        <v>130</v>
      </c>
      <c r="AU23" s="188">
        <f>SUM(AU6:AU22)</f>
        <v>13482399968.189999</v>
      </c>
      <c r="AX23" s="71" t="s">
        <v>170</v>
      </c>
      <c r="AY23" s="188">
        <f>SUM(AY10+AY13+AY15+AY20+AY22)</f>
        <v>9744799277.0999985</v>
      </c>
      <c r="AZ23" s="188">
        <f t="shared" ref="AZ23:BA23" si="6">SUM(AZ10+AZ13+AZ15+AZ20+AZ22)</f>
        <v>12459080795.719999</v>
      </c>
      <c r="BA23" s="188">
        <f t="shared" si="6"/>
        <v>12159080795.719999</v>
      </c>
    </row>
    <row r="26" spans="1:60" ht="23.25">
      <c r="X26" s="71"/>
      <c r="Y26" s="95" t="s">
        <v>155</v>
      </c>
      <c r="Z26" s="83">
        <f>AVERAGE(Z6,Z11,Z14,Z16,Z19)</f>
        <v>0.53942851639037026</v>
      </c>
      <c r="AB26" s="81" t="s">
        <v>131</v>
      </c>
      <c r="AC26" s="83">
        <f>AVERAGE(AC6,AC11,AC14,AC16,AC19)</f>
        <v>0.78796222222222223</v>
      </c>
      <c r="AD26" s="72" t="s">
        <v>132</v>
      </c>
    </row>
  </sheetData>
  <mergeCells count="179">
    <mergeCell ref="I14:I15"/>
    <mergeCell ref="J15:W15"/>
    <mergeCell ref="AD14:AD15"/>
    <mergeCell ref="AE15:AK15"/>
    <mergeCell ref="AW14:AW15"/>
    <mergeCell ref="I16:I18"/>
    <mergeCell ref="J18:W18"/>
    <mergeCell ref="J23:V23"/>
    <mergeCell ref="I19:I23"/>
    <mergeCell ref="AZ4:AZ5"/>
    <mergeCell ref="BA4:BA5"/>
    <mergeCell ref="AZ6:AZ9"/>
    <mergeCell ref="BA6:BA9"/>
    <mergeCell ref="I11:I13"/>
    <mergeCell ref="J13:W13"/>
    <mergeCell ref="AE13:AK13"/>
    <mergeCell ref="AZ11:AZ12"/>
    <mergeCell ref="BA11:BA12"/>
    <mergeCell ref="O11:O12"/>
    <mergeCell ref="V4:V5"/>
    <mergeCell ref="V6:V7"/>
    <mergeCell ref="V8:V9"/>
    <mergeCell ref="Y8:Y9"/>
    <mergeCell ref="L11:L12"/>
    <mergeCell ref="G8:G9"/>
    <mergeCell ref="N8:N9"/>
    <mergeCell ref="O8:O9"/>
    <mergeCell ref="P8:P9"/>
    <mergeCell ref="R6:R7"/>
    <mergeCell ref="R8:R9"/>
    <mergeCell ref="I6:I10"/>
    <mergeCell ref="J10:W10"/>
    <mergeCell ref="AC19:AC22"/>
    <mergeCell ref="A19:A21"/>
    <mergeCell ref="B19:B21"/>
    <mergeCell ref="C19:C21"/>
    <mergeCell ref="D19:D21"/>
    <mergeCell ref="E19:E21"/>
    <mergeCell ref="F19:F21"/>
    <mergeCell ref="C11:C12"/>
    <mergeCell ref="F11:F12"/>
    <mergeCell ref="D11:D12"/>
    <mergeCell ref="Z19:Z22"/>
    <mergeCell ref="E11:E12"/>
    <mergeCell ref="A11:A12"/>
    <mergeCell ref="B11:B12"/>
    <mergeCell ref="G19:G21"/>
    <mergeCell ref="H19:H21"/>
    <mergeCell ref="P11:P12"/>
    <mergeCell ref="AC11:AC12"/>
    <mergeCell ref="H11:H12"/>
    <mergeCell ref="G11:G12"/>
    <mergeCell ref="Z11:Z12"/>
    <mergeCell ref="N11:N12"/>
    <mergeCell ref="AW6:AW9"/>
    <mergeCell ref="AT11:AT12"/>
    <mergeCell ref="AW11:AW12"/>
    <mergeCell ref="AX11:AX12"/>
    <mergeCell ref="AS6:AS9"/>
    <mergeCell ref="AE6:AE9"/>
    <mergeCell ref="AF6:AF9"/>
    <mergeCell ref="AP6:AP9"/>
    <mergeCell ref="AP11:AP12"/>
    <mergeCell ref="AQ11:AQ12"/>
    <mergeCell ref="AQ6:AQ9"/>
    <mergeCell ref="AT6:AT9"/>
    <mergeCell ref="AU6:AU9"/>
    <mergeCell ref="AV6:AV9"/>
    <mergeCell ref="AX6:AX9"/>
    <mergeCell ref="AU11:AU12"/>
    <mergeCell ref="AV11:AV12"/>
    <mergeCell ref="AS11:AS12"/>
    <mergeCell ref="AD6:AD10"/>
    <mergeCell ref="AE10:AK10"/>
    <mergeCell ref="AU4:AU5"/>
    <mergeCell ref="H8:H9"/>
    <mergeCell ref="AD4:AD5"/>
    <mergeCell ref="T4:T5"/>
    <mergeCell ref="S4:S5"/>
    <mergeCell ref="AA4:AA5"/>
    <mergeCell ref="W4:W5"/>
    <mergeCell ref="W6:W7"/>
    <mergeCell ref="W8:W9"/>
    <mergeCell ref="X6:X7"/>
    <mergeCell ref="Y6:Y7"/>
    <mergeCell ref="X8:X9"/>
    <mergeCell ref="U4:U5"/>
    <mergeCell ref="U6:U7"/>
    <mergeCell ref="U8:U9"/>
    <mergeCell ref="S6:S7"/>
    <mergeCell ref="S8:S9"/>
    <mergeCell ref="AC4:AC5"/>
    <mergeCell ref="AC6:AC9"/>
    <mergeCell ref="T6:T7"/>
    <mergeCell ref="K6:K7"/>
    <mergeCell ref="Q8:Q9"/>
    <mergeCell ref="Q6:Q7"/>
    <mergeCell ref="M6:M7"/>
    <mergeCell ref="C6:C9"/>
    <mergeCell ref="F8:F9"/>
    <mergeCell ref="F6:F7"/>
    <mergeCell ref="K8:K9"/>
    <mergeCell ref="D6:D9"/>
    <mergeCell ref="AQ4:AQ5"/>
    <mergeCell ref="AR4:AR5"/>
    <mergeCell ref="AS4:AS5"/>
    <mergeCell ref="AT4:AT5"/>
    <mergeCell ref="M8:M9"/>
    <mergeCell ref="L6:L9"/>
    <mergeCell ref="P6:P7"/>
    <mergeCell ref="N6:N7"/>
    <mergeCell ref="O6:O7"/>
    <mergeCell ref="G6:G7"/>
    <mergeCell ref="H6:H7"/>
    <mergeCell ref="T8:T9"/>
    <mergeCell ref="F4:F5"/>
    <mergeCell ref="G4:G5"/>
    <mergeCell ref="AL4:AL5"/>
    <mergeCell ref="A4:A5"/>
    <mergeCell ref="B4:B5"/>
    <mergeCell ref="X4:X5"/>
    <mergeCell ref="Y4:Y5"/>
    <mergeCell ref="I4:I5"/>
    <mergeCell ref="J4:J5"/>
    <mergeCell ref="K4:K5"/>
    <mergeCell ref="L4:L5"/>
    <mergeCell ref="M4:M5"/>
    <mergeCell ref="N4:O4"/>
    <mergeCell ref="P4:P5"/>
    <mergeCell ref="Q4:Q5"/>
    <mergeCell ref="R4:R5"/>
    <mergeCell ref="AD1:BB1"/>
    <mergeCell ref="AO4:AO5"/>
    <mergeCell ref="AP4:AP5"/>
    <mergeCell ref="E6:E9"/>
    <mergeCell ref="AB6:AB7"/>
    <mergeCell ref="AB8:AB9"/>
    <mergeCell ref="AA6:AA7"/>
    <mergeCell ref="AA8:AA9"/>
    <mergeCell ref="Z6:Z9"/>
    <mergeCell ref="J6:J7"/>
    <mergeCell ref="J8:J9"/>
    <mergeCell ref="AE4:AE5"/>
    <mergeCell ref="AX4:AX5"/>
    <mergeCell ref="AH4:AH5"/>
    <mergeCell ref="AI4:AI5"/>
    <mergeCell ref="AK4:AK5"/>
    <mergeCell ref="AM4:AM5"/>
    <mergeCell ref="AN4:AN5"/>
    <mergeCell ref="Z4:Z5"/>
    <mergeCell ref="A1:AC1"/>
    <mergeCell ref="A3:AC3"/>
    <mergeCell ref="BB3:BB5"/>
    <mergeCell ref="BB6:BB9"/>
    <mergeCell ref="C4:C5"/>
    <mergeCell ref="BB11:BB12"/>
    <mergeCell ref="A2:AC2"/>
    <mergeCell ref="AJ4:AJ5"/>
    <mergeCell ref="AY4:AY5"/>
    <mergeCell ref="AY6:AY9"/>
    <mergeCell ref="AY11:AY12"/>
    <mergeCell ref="AT3:AY3"/>
    <mergeCell ref="AD2:BB2"/>
    <mergeCell ref="AV4:AV5"/>
    <mergeCell ref="AW4:AW5"/>
    <mergeCell ref="AD3:AS3"/>
    <mergeCell ref="AF4:AF5"/>
    <mergeCell ref="AG4:AG5"/>
    <mergeCell ref="AE11:AE12"/>
    <mergeCell ref="AR11:AR12"/>
    <mergeCell ref="H4:H5"/>
    <mergeCell ref="AD11:AD12"/>
    <mergeCell ref="AF11:AF12"/>
    <mergeCell ref="AR6:AR9"/>
    <mergeCell ref="D4:D5"/>
    <mergeCell ref="AB4:AB5"/>
    <mergeCell ref="A6:A9"/>
    <mergeCell ref="B6:B9"/>
    <mergeCell ref="E4:E5"/>
  </mergeCells>
  <printOptions horizontalCentered="1"/>
  <pageMargins left="0.1" right="0.1" top="0.5" bottom="0.25" header="0.3" footer="0.3"/>
  <pageSetup paperSize="14" scale="38" pageOrder="overThenDown" orientation="landscape" horizontalDpi="4294967293" verticalDpi="4294967293" r:id="rId1"/>
  <headerFooter>
    <oddFooter>&amp;C&amp;"Calibri,Normal"&amp;16&amp;K000000Página &amp;P de &amp;N</oddFooter>
  </headerFooter>
  <colBreaks count="1" manualBreakCount="1">
    <brk id="29" max="18" man="1"/>
  </colBreaks>
  <ignoredErrors>
    <ignoredError sqref="X6:X9 Z6:AC9" emptyCellReference="1"/>
    <ignoredError sqref="X14 X20 X22 X11:X12" formulaRange="1"/>
    <ignoredError sqref="AA21"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3"/>
  <sheetViews>
    <sheetView workbookViewId="0">
      <selection activeCell="G3" sqref="G3:H3"/>
    </sheetView>
  </sheetViews>
  <sheetFormatPr baseColWidth="10" defaultRowHeight="15"/>
  <cols>
    <col min="2" max="2" width="12.85546875" customWidth="1"/>
    <col min="3" max="3" width="19.28515625" customWidth="1"/>
    <col min="4" max="4" width="15.85546875" customWidth="1"/>
    <col min="5" max="5" width="14" bestFit="1" customWidth="1"/>
    <col min="6" max="6" width="22.85546875" customWidth="1"/>
    <col min="9" max="9" width="15.85546875" customWidth="1"/>
    <col min="10" max="10" width="12.85546875" customWidth="1"/>
    <col min="11" max="11" width="14.85546875" customWidth="1"/>
    <col min="12" max="12" width="13.85546875" style="139" customWidth="1"/>
    <col min="13" max="13" width="14.28515625" customWidth="1"/>
  </cols>
  <sheetData>
    <row r="2" spans="2:13" ht="15.75" thickBot="1"/>
    <row r="3" spans="2:13" ht="45.95" customHeight="1">
      <c r="B3" s="307" t="s">
        <v>1</v>
      </c>
      <c r="C3" s="299" t="s">
        <v>174</v>
      </c>
      <c r="D3" s="299" t="s">
        <v>180</v>
      </c>
      <c r="E3" s="299" t="s">
        <v>173</v>
      </c>
      <c r="F3" s="311" t="s">
        <v>175</v>
      </c>
      <c r="G3" s="313" t="s">
        <v>91</v>
      </c>
      <c r="H3" s="313"/>
      <c r="I3" s="313" t="s">
        <v>179</v>
      </c>
      <c r="J3" s="309" t="s">
        <v>93</v>
      </c>
      <c r="K3" s="309" t="s">
        <v>176</v>
      </c>
      <c r="L3" s="405" t="s">
        <v>177</v>
      </c>
      <c r="M3" s="338" t="s">
        <v>178</v>
      </c>
    </row>
    <row r="4" spans="2:13" ht="15" customHeight="1" thickBot="1">
      <c r="B4" s="396"/>
      <c r="C4" s="397"/>
      <c r="D4" s="397"/>
      <c r="E4" s="397"/>
      <c r="F4" s="408"/>
      <c r="G4" s="140" t="s">
        <v>181</v>
      </c>
      <c r="H4" s="140" t="s">
        <v>182</v>
      </c>
      <c r="I4" s="409"/>
      <c r="J4" s="407"/>
      <c r="K4" s="407"/>
      <c r="L4" s="406"/>
      <c r="M4" s="403"/>
    </row>
    <row r="5" spans="2:13" ht="94.5">
      <c r="B5" s="410" t="s">
        <v>6</v>
      </c>
      <c r="C5" s="133" t="s">
        <v>8</v>
      </c>
      <c r="D5" s="134" t="s">
        <v>61</v>
      </c>
      <c r="E5" s="378" t="s">
        <v>33</v>
      </c>
      <c r="F5" s="136" t="s">
        <v>47</v>
      </c>
      <c r="G5" s="138" t="s">
        <v>111</v>
      </c>
      <c r="H5" s="136"/>
      <c r="I5" s="137" t="str">
        <f>'PLAN DE ACCIÓN 2023'!P6</f>
        <v>VIVIENDAS DE INTERÉS PRIORITARIO URBANAS CONSTRUIDAS</v>
      </c>
      <c r="J5" s="135">
        <f>'PLAN DE ACCIÓN 2023'!Q6</f>
        <v>5000</v>
      </c>
      <c r="K5" s="43">
        <f>'PLAN DE ACCIÓN 2023'!AA6</f>
        <v>3052</v>
      </c>
      <c r="L5" s="91">
        <f>'PLAN DE ACCIÓN 2023'!AB6</f>
        <v>0.61040000000000005</v>
      </c>
      <c r="M5" s="340">
        <f>'PLAN DE ACCIÓN 2023'!AC6</f>
        <v>0.69070000000000009</v>
      </c>
    </row>
    <row r="6" spans="2:13" ht="189.75" thickBot="1">
      <c r="B6" s="411"/>
      <c r="C6" s="141" t="s">
        <v>13</v>
      </c>
      <c r="D6" s="142" t="s">
        <v>31</v>
      </c>
      <c r="E6" s="395"/>
      <c r="F6" s="143" t="s">
        <v>74</v>
      </c>
      <c r="G6" s="144" t="s">
        <v>111</v>
      </c>
      <c r="H6" s="145"/>
      <c r="I6" s="146" t="str">
        <f>'PLAN DE ACCIÓN 2023'!P8</f>
        <v xml:space="preserve">HOGARES BENEFICIADOS CON ADQUISICIÓN DE VIVIENDA </v>
      </c>
      <c r="J6" s="147">
        <f>'PLAN DE ACCIÓN 2023'!Q8</f>
        <v>4000</v>
      </c>
      <c r="K6" s="147">
        <f>'PLAN DE ACCIÓN 2023'!AA8</f>
        <v>3084</v>
      </c>
      <c r="L6" s="149">
        <f>'PLAN DE ACCIÓN 2023'!AB8</f>
        <v>0.77100000000000002</v>
      </c>
      <c r="M6" s="404"/>
    </row>
    <row r="7" spans="2:13" ht="78.75">
      <c r="B7" s="410" t="s">
        <v>7</v>
      </c>
      <c r="C7" s="55" t="s">
        <v>35</v>
      </c>
      <c r="D7" s="53" t="s">
        <v>62</v>
      </c>
      <c r="E7" s="267" t="s">
        <v>32</v>
      </c>
      <c r="F7" s="54" t="s">
        <v>37</v>
      </c>
      <c r="G7" s="386" t="s">
        <v>111</v>
      </c>
      <c r="H7" s="371"/>
      <c r="I7" s="379" t="str">
        <f>'PLAN DE ACCIÓN 2023'!P11</f>
        <v xml:space="preserve">HOGARES BENEFICIADOS CON MEJORAMIENTO DE UNA VIVIENDA  </v>
      </c>
      <c r="J7" s="43">
        <f>'PLAN DE ACCIÓN 2023'!Q11</f>
        <v>3500</v>
      </c>
      <c r="K7" s="43">
        <f>'PLAN DE ACCIÓN 2023'!AA11</f>
        <v>2090</v>
      </c>
      <c r="L7" s="91">
        <f>'PLAN DE ACCIÓN 2023'!AB11</f>
        <v>0.5971428571428572</v>
      </c>
      <c r="M7" s="340">
        <f>'PLAN DE ACCIÓN 2023'!AC11</f>
        <v>0.55333333333333334</v>
      </c>
    </row>
    <row r="8" spans="2:13" ht="79.5" thickBot="1">
      <c r="B8" s="411"/>
      <c r="C8" s="163" t="s">
        <v>36</v>
      </c>
      <c r="D8" s="164" t="s">
        <v>63</v>
      </c>
      <c r="E8" s="412"/>
      <c r="F8" s="165" t="s">
        <v>38</v>
      </c>
      <c r="G8" s="413"/>
      <c r="H8" s="414"/>
      <c r="I8" s="394"/>
      <c r="J8" s="161">
        <f>'PLAN DE ACCIÓN 2023'!Q12</f>
        <v>1000</v>
      </c>
      <c r="K8" s="161">
        <f>'PLAN DE ACCIÓN 2023'!AA12</f>
        <v>400</v>
      </c>
      <c r="L8" s="162">
        <f>'PLAN DE ACCIÓN 2023'!AB12</f>
        <v>0.4</v>
      </c>
      <c r="M8" s="404"/>
    </row>
    <row r="9" spans="2:13" ht="95.25" thickBot="1">
      <c r="B9" s="155" t="s">
        <v>41</v>
      </c>
      <c r="C9" s="156" t="s">
        <v>50</v>
      </c>
      <c r="D9" s="157" t="s">
        <v>64</v>
      </c>
      <c r="E9" s="158" t="s">
        <v>39</v>
      </c>
      <c r="F9" s="159" t="s">
        <v>42</v>
      </c>
      <c r="G9" s="160" t="s">
        <v>111</v>
      </c>
      <c r="H9" s="166"/>
      <c r="I9" s="173" t="str">
        <f>'PLAN DE ACCIÓN 2023'!P14</f>
        <v>ENTIDADES TERRITORIALES ASISTIDAS TÉCNICA Y JURÍDICAMENTE</v>
      </c>
      <c r="J9" s="175">
        <f>'PLAN DE ACCIÓN 2023'!Q14</f>
        <v>4500</v>
      </c>
      <c r="K9" s="175">
        <f>'PLAN DE ACCIÓN 2023'!AA14</f>
        <v>3131</v>
      </c>
      <c r="L9" s="176">
        <f>'PLAN DE ACCIÓN 2023'!AB14</f>
        <v>0.69577777777777783</v>
      </c>
      <c r="M9" s="174">
        <f>'PLAN DE ACCIÓN 2023'!AC14</f>
        <v>0.69577777777777783</v>
      </c>
    </row>
    <row r="10" spans="2:13" ht="170.1" customHeight="1" thickBot="1">
      <c r="B10" s="167" t="s">
        <v>10</v>
      </c>
      <c r="C10" s="168" t="s">
        <v>141</v>
      </c>
      <c r="D10" s="169" t="s">
        <v>142</v>
      </c>
      <c r="E10" s="170" t="s">
        <v>9</v>
      </c>
      <c r="F10" s="171" t="s">
        <v>143</v>
      </c>
      <c r="G10" s="172"/>
      <c r="H10" s="160" t="s">
        <v>111</v>
      </c>
      <c r="I10" s="173" t="str">
        <f>'PLAN DE ACCIÓN 2023'!P16</f>
        <v>DOCUMENTOS TÉCNICOS, INSTRUMENTOS Y/O DIAGNÓSTICOS</v>
      </c>
      <c r="J10" s="175">
        <f>'PLAN DE ACCIÓN 2023'!Q16</f>
        <v>2</v>
      </c>
      <c r="K10" s="175">
        <f>'PLAN DE ACCIÓN 2023'!AA16</f>
        <v>2</v>
      </c>
      <c r="L10" s="176">
        <f>'PLAN DE ACCIÓN 2023'!AB16</f>
        <v>1</v>
      </c>
      <c r="M10" s="181">
        <f>'PLAN DE ACCIÓN 2023'!AC16</f>
        <v>1</v>
      </c>
    </row>
    <row r="11" spans="2:13" ht="158.25" thickBot="1">
      <c r="B11" s="398" t="s">
        <v>68</v>
      </c>
      <c r="C11" s="177" t="s">
        <v>44</v>
      </c>
      <c r="D11" s="178" t="s">
        <v>65</v>
      </c>
      <c r="E11" s="127" t="s">
        <v>9</v>
      </c>
      <c r="F11" s="179" t="s">
        <v>53</v>
      </c>
      <c r="G11" s="56" t="s">
        <v>111</v>
      </c>
      <c r="H11" s="179"/>
      <c r="I11" s="173" t="str">
        <f>'PLAN DE ACCIÓN 2023'!P20</f>
        <v>SISTEMAS DE INFORMACIÓN ACTUALIZADOS</v>
      </c>
      <c r="J11" s="175">
        <f>'PLAN DE ACCIÓN 2023'!Q20</f>
        <v>3</v>
      </c>
      <c r="K11" s="180">
        <f>'PLAN DE ACCIÓN 2023'!AA20</f>
        <v>3</v>
      </c>
      <c r="L11" s="180">
        <f>'PLAN DE ACCIÓN 2023'!AB20</f>
        <v>1</v>
      </c>
      <c r="M11" s="400">
        <f>'PLAN DE ACCIÓN 2023'!AC19</f>
        <v>1</v>
      </c>
    </row>
    <row r="12" spans="2:13" ht="142.5" thickBot="1">
      <c r="B12" s="398"/>
      <c r="C12" s="108" t="s">
        <v>153</v>
      </c>
      <c r="D12" s="108" t="s">
        <v>151</v>
      </c>
      <c r="E12" s="125" t="s">
        <v>9</v>
      </c>
      <c r="F12" s="85" t="s">
        <v>152</v>
      </c>
      <c r="G12" s="86"/>
      <c r="H12" s="86" t="s">
        <v>111</v>
      </c>
      <c r="I12" s="173" t="str">
        <f>'PLAN DE ACCIÓN 2023'!P21</f>
        <v>FORMULACIÓN Y/O PARTICIPACIÓN EN INSTRUMENTOS DE PLANEACIÓN
NUEVO POT</v>
      </c>
      <c r="J12" s="175">
        <f>'PLAN DE ACCIÓN 2023'!Q21</f>
        <v>1</v>
      </c>
      <c r="K12" s="175">
        <f>'PLAN DE ACCIÓN 2023'!AA21</f>
        <v>1</v>
      </c>
      <c r="L12" s="175">
        <f>'PLAN DE ACCIÓN 2023'!AB21</f>
        <v>1</v>
      </c>
      <c r="M12" s="401"/>
    </row>
    <row r="13" spans="2:13" ht="142.5" thickBot="1">
      <c r="B13" s="399"/>
      <c r="C13" s="105" t="s">
        <v>43</v>
      </c>
      <c r="D13" s="106" t="s">
        <v>66</v>
      </c>
      <c r="E13" s="126" t="s">
        <v>9</v>
      </c>
      <c r="F13" s="107" t="s">
        <v>55</v>
      </c>
      <c r="G13" s="93" t="s">
        <v>111</v>
      </c>
      <c r="H13" s="107"/>
      <c r="I13" s="173" t="str">
        <f>'PLAN DE ACCIÓN 2023'!P22</f>
        <v>INSTRUMENTOS NORMATIVOS FORMULADOS</v>
      </c>
      <c r="J13" s="175">
        <f>'PLAN DE ACCIÓN 2023'!Q22</f>
        <v>6</v>
      </c>
      <c r="K13" s="180">
        <f>'PLAN DE ACCIÓN 2023'!AA22</f>
        <v>6</v>
      </c>
      <c r="L13" s="180">
        <f>'PLAN DE ACCIÓN 2023'!AB22</f>
        <v>1</v>
      </c>
      <c r="M13" s="402"/>
    </row>
  </sheetData>
  <mergeCells count="22">
    <mergeCell ref="B11:B13"/>
    <mergeCell ref="M11:M13"/>
    <mergeCell ref="M3:M4"/>
    <mergeCell ref="M5:M6"/>
    <mergeCell ref="L3:L4"/>
    <mergeCell ref="M7:M8"/>
    <mergeCell ref="K3:K4"/>
    <mergeCell ref="F3:F4"/>
    <mergeCell ref="G3:H3"/>
    <mergeCell ref="I3:I4"/>
    <mergeCell ref="J3:J4"/>
    <mergeCell ref="B5:B6"/>
    <mergeCell ref="B7:B8"/>
    <mergeCell ref="E7:E8"/>
    <mergeCell ref="G7:G8"/>
    <mergeCell ref="H7:H8"/>
    <mergeCell ref="I7:I8"/>
    <mergeCell ref="E5:E6"/>
    <mergeCell ref="B3:B4"/>
    <mergeCell ref="C3:C4"/>
    <mergeCell ref="D3:D4"/>
    <mergeCell ref="E3:E4"/>
  </mergeCell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PLAN DE ACCIÓN 2023</vt:lpstr>
      <vt:lpstr>Hoja1</vt:lpstr>
      <vt:lpstr>'PLAN DE ACCIÓN 2023'!_Hlk49970378</vt:lpstr>
      <vt:lpstr>'PLAN DE ACCIÓN 2023'!Área_de_impresión</vt:lpstr>
      <vt:lpstr>'PLAN DE ACCIÓN 2023'!Títulos_a_imprimir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maria bernarda perez carmona</cp:lastModifiedBy>
  <cp:lastPrinted>2024-01-15T21:22:55Z</cp:lastPrinted>
  <dcterms:created xsi:type="dcterms:W3CDTF">2020-07-31T15:55:26Z</dcterms:created>
  <dcterms:modified xsi:type="dcterms:W3CDTF">2024-01-29T19:27:26Z</dcterms:modified>
</cp:coreProperties>
</file>