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ER\Desktop\JESUS TORRES 2019\PLANES DE ACCION\"/>
    </mc:Choice>
  </mc:AlternateContent>
  <bookViews>
    <workbookView xWindow="0" yWindow="0" windowWidth="20490" windowHeight="7755"/>
  </bookViews>
  <sheets>
    <sheet name="IDER PLAN DE ACCION DICIE 2018" sheetId="1" r:id="rId1"/>
  </sheets>
  <externalReferences>
    <externalReference r:id="rId2"/>
  </externalReferenc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123" i="1" l="1"/>
  <c r="AT121" i="1"/>
  <c r="AT111" i="1"/>
  <c r="AT99" i="1"/>
  <c r="AT93" i="1"/>
  <c r="AT79" i="1"/>
  <c r="AT56" i="1"/>
  <c r="AT28" i="1"/>
  <c r="AT24" i="1"/>
  <c r="AT13" i="1"/>
  <c r="AY111" i="1"/>
  <c r="AW111" i="1"/>
  <c r="BB13" i="1"/>
  <c r="BA113" i="1"/>
  <c r="BA102" i="1"/>
  <c r="BA85" i="1"/>
  <c r="BA76" i="1"/>
  <c r="BA33" i="1"/>
  <c r="BA24" i="1"/>
  <c r="BA13" i="1"/>
  <c r="AZ113" i="1"/>
  <c r="AY123" i="1"/>
  <c r="AY121" i="1"/>
  <c r="AZ102" i="1"/>
  <c r="AY105" i="1"/>
  <c r="AZ93" i="1"/>
  <c r="AZ99" i="1"/>
  <c r="AY99" i="1"/>
  <c r="AY98" i="1"/>
  <c r="AY97" i="1"/>
  <c r="AY96" i="1"/>
  <c r="AZ85" i="1"/>
  <c r="AY88" i="1"/>
  <c r="AY92" i="1"/>
  <c r="AY91" i="1"/>
  <c r="AZ76" i="1"/>
  <c r="AZ56" i="1"/>
  <c r="AZ33" i="1"/>
  <c r="AZ13" i="1"/>
  <c r="AW13" i="1"/>
  <c r="AX98" i="1"/>
  <c r="AW93" i="1"/>
  <c r="AX97" i="1"/>
  <c r="AX96" i="1"/>
  <c r="AX93" i="1"/>
  <c r="AW56" i="1"/>
  <c r="AX74" i="1"/>
  <c r="AX70" i="1"/>
  <c r="AX66" i="1"/>
  <c r="AX60" i="1"/>
  <c r="AX56" i="1"/>
  <c r="AW106" i="1"/>
  <c r="AP98" i="1"/>
  <c r="AQ93" i="1"/>
  <c r="AR85" i="1"/>
  <c r="AS13" i="1"/>
  <c r="AR113" i="1"/>
  <c r="AR102" i="1"/>
  <c r="AR76" i="1"/>
  <c r="AR33" i="1"/>
  <c r="AQ24" i="1"/>
  <c r="AR24" i="1"/>
  <c r="AR13" i="1"/>
  <c r="AQ113" i="1"/>
  <c r="AQ56" i="1"/>
  <c r="AQ85" i="1"/>
  <c r="AY79" i="1"/>
  <c r="AW76" i="1"/>
  <c r="AY66" i="1"/>
  <c r="AY60" i="1"/>
  <c r="AY56" i="1"/>
  <c r="AX48" i="1"/>
  <c r="AY48" i="1"/>
  <c r="AX37" i="1"/>
  <c r="R37" i="1"/>
  <c r="AY37" i="1"/>
  <c r="AW28" i="1"/>
  <c r="AX28" i="1"/>
  <c r="AY28" i="1"/>
  <c r="AX24" i="1"/>
  <c r="AY24" i="1"/>
  <c r="AB13" i="1"/>
  <c r="AX13" i="1"/>
  <c r="AY13" i="1"/>
  <c r="AA102" i="1"/>
  <c r="AW102" i="1"/>
  <c r="AW104" i="1"/>
  <c r="AW105" i="1"/>
  <c r="AB113" i="1"/>
  <c r="AW113" i="1"/>
  <c r="AW121" i="1"/>
  <c r="AW123" i="1"/>
  <c r="AA123" i="1"/>
  <c r="AX123" i="1"/>
  <c r="AA121" i="1"/>
  <c r="AX121" i="1"/>
  <c r="AA113" i="1"/>
  <c r="AX113" i="1"/>
  <c r="AA111" i="1"/>
  <c r="AX111" i="1"/>
  <c r="AA106" i="1"/>
  <c r="AX106" i="1"/>
  <c r="AX105" i="1"/>
  <c r="AX104" i="1"/>
  <c r="AX102" i="1"/>
  <c r="AW99" i="1"/>
  <c r="AX99" i="1"/>
  <c r="AX85" i="1"/>
  <c r="AX86" i="1"/>
  <c r="AX87" i="1"/>
  <c r="AX88" i="1"/>
  <c r="AX89" i="1"/>
  <c r="AX90" i="1"/>
  <c r="AB91" i="1"/>
  <c r="AX91" i="1"/>
  <c r="AX92" i="1"/>
  <c r="AW85" i="1"/>
  <c r="AW79" i="1"/>
  <c r="AX79" i="1"/>
  <c r="AA76" i="1"/>
  <c r="AX76" i="1"/>
  <c r="AO61" i="1"/>
  <c r="AJ61" i="1"/>
  <c r="AB61" i="1"/>
  <c r="AJ74" i="1"/>
  <c r="AB74" i="1"/>
  <c r="AB33" i="1"/>
  <c r="AX33" i="1"/>
  <c r="AO43" i="1"/>
  <c r="AJ43" i="1"/>
  <c r="AB43" i="1"/>
  <c r="AX43" i="1"/>
  <c r="AX49" i="1"/>
  <c r="AO54" i="1"/>
  <c r="AX54" i="1"/>
  <c r="AX55" i="1"/>
  <c r="AW33" i="1"/>
  <c r="AW24" i="1"/>
  <c r="AJ23" i="1"/>
  <c r="AX23" i="1"/>
  <c r="AP113" i="1"/>
  <c r="AP121" i="1"/>
  <c r="AP56" i="1"/>
  <c r="AP61" i="1"/>
  <c r="AP66" i="1"/>
  <c r="AP70" i="1"/>
  <c r="CK113" i="1"/>
  <c r="CK102" i="1"/>
  <c r="CK85" i="1"/>
  <c r="CK76" i="1"/>
  <c r="CK33" i="1"/>
  <c r="CK24" i="1"/>
  <c r="CI13" i="1"/>
  <c r="CK13" i="1"/>
  <c r="AU13" i="1"/>
  <c r="AU24" i="1"/>
  <c r="AP33" i="1"/>
  <c r="AP37" i="1"/>
  <c r="R43" i="1"/>
  <c r="AP43" i="1"/>
  <c r="AP48" i="1"/>
  <c r="AP49" i="1"/>
  <c r="AP54" i="1"/>
  <c r="AP74" i="1"/>
  <c r="AU33" i="1"/>
  <c r="AU76" i="1"/>
  <c r="AP85" i="1"/>
  <c r="AP86" i="1"/>
  <c r="AP88" i="1"/>
  <c r="AP91" i="1"/>
  <c r="AP92" i="1"/>
  <c r="AP93" i="1"/>
  <c r="AP96" i="1"/>
  <c r="AP97" i="1"/>
  <c r="AU85" i="1"/>
  <c r="AP104" i="1"/>
  <c r="AP105" i="1"/>
  <c r="AU102" i="1"/>
  <c r="AU113" i="1"/>
  <c r="AV13" i="1"/>
  <c r="AI93" i="1"/>
  <c r="AP13" i="1"/>
  <c r="AP23" i="1"/>
  <c r="AQ13" i="1"/>
  <c r="AP24" i="1"/>
  <c r="AP28" i="1"/>
  <c r="T33" i="1"/>
  <c r="T43" i="1"/>
  <c r="S33" i="1"/>
  <c r="V33" i="1"/>
  <c r="T61" i="1"/>
  <c r="T74" i="1"/>
  <c r="S56" i="1"/>
  <c r="V56" i="1"/>
  <c r="W33" i="1"/>
  <c r="AQ33" i="1"/>
  <c r="AP76" i="1"/>
  <c r="AP79" i="1"/>
  <c r="AQ76" i="1"/>
  <c r="AP99" i="1"/>
  <c r="AQ102" i="1"/>
  <c r="AQ104" i="1"/>
  <c r="CH13" i="1"/>
  <c r="CH24" i="1"/>
  <c r="CH33" i="1"/>
  <c r="CH56" i="1"/>
  <c r="CH76" i="1"/>
  <c r="CH85" i="1"/>
  <c r="CH93" i="1"/>
  <c r="CH102" i="1"/>
  <c r="CH104" i="1"/>
  <c r="CH113" i="1"/>
  <c r="CH124" i="1"/>
  <c r="AP123" i="1"/>
  <c r="AQ111" i="1"/>
  <c r="AP111" i="1"/>
  <c r="AP102" i="1"/>
  <c r="AN85" i="1"/>
  <c r="AN93" i="1"/>
  <c r="AN56" i="1"/>
  <c r="W76" i="1"/>
  <c r="T113" i="1"/>
  <c r="V113" i="1"/>
  <c r="T121" i="1"/>
  <c r="V121" i="1"/>
  <c r="T123" i="1"/>
  <c r="V123" i="1"/>
  <c r="W113" i="1"/>
  <c r="U106" i="1"/>
  <c r="U105" i="1"/>
  <c r="V102" i="1"/>
  <c r="T111" i="1"/>
  <c r="V111" i="1"/>
  <c r="W102" i="1"/>
  <c r="T91" i="1"/>
  <c r="S85" i="1"/>
  <c r="V85" i="1"/>
  <c r="V93" i="1"/>
  <c r="V99" i="1"/>
  <c r="W85" i="1"/>
  <c r="AN33" i="1"/>
  <c r="AA33" i="1"/>
  <c r="AD33" i="1"/>
  <c r="AA56" i="1"/>
  <c r="AD56" i="1"/>
  <c r="AE33" i="1"/>
  <c r="AE76" i="1"/>
  <c r="AA93" i="1"/>
  <c r="AD93" i="1"/>
  <c r="AE85" i="1"/>
  <c r="AC106" i="1"/>
  <c r="AC105" i="1"/>
  <c r="AD102" i="1"/>
  <c r="AD111" i="1"/>
  <c r="AE102" i="1"/>
  <c r="AD113" i="1"/>
  <c r="AD121" i="1"/>
  <c r="AD123" i="1"/>
  <c r="AE113" i="1"/>
  <c r="AE124" i="1"/>
  <c r="AK13" i="1"/>
  <c r="AK23" i="1"/>
  <c r="AL13" i="1"/>
  <c r="AM13" i="1"/>
  <c r="AK24" i="1"/>
  <c r="AK28" i="1"/>
  <c r="AL24" i="1"/>
  <c r="AM24" i="1"/>
  <c r="AK55" i="1"/>
  <c r="AK54" i="1"/>
  <c r="AK49" i="1"/>
  <c r="AK48" i="1"/>
  <c r="AK43" i="1"/>
  <c r="AK37" i="1"/>
  <c r="AK33" i="1"/>
  <c r="AL33" i="1"/>
  <c r="AM33" i="1"/>
  <c r="AK76" i="1"/>
  <c r="AK79" i="1"/>
  <c r="AM76" i="1"/>
  <c r="AK85" i="1"/>
  <c r="AK86" i="1"/>
  <c r="AK87" i="1"/>
  <c r="AK88" i="1"/>
  <c r="AK89" i="1"/>
  <c r="AK90" i="1"/>
  <c r="AK91" i="1"/>
  <c r="AK92" i="1"/>
  <c r="AL85" i="1"/>
  <c r="AK93" i="1"/>
  <c r="AK96" i="1"/>
  <c r="AK97" i="1"/>
  <c r="AK98" i="1"/>
  <c r="AK99" i="1"/>
  <c r="AL93" i="1"/>
  <c r="AM85" i="1"/>
  <c r="AL102" i="1"/>
  <c r="AK104" i="1"/>
  <c r="AK105" i="1"/>
  <c r="AK106" i="1"/>
  <c r="AL104" i="1"/>
  <c r="AL111" i="1"/>
  <c r="AM102" i="1"/>
  <c r="AK113" i="1"/>
  <c r="AK121" i="1"/>
  <c r="AL113" i="1"/>
  <c r="AM113" i="1"/>
  <c r="AM124" i="1"/>
  <c r="AK123" i="1"/>
  <c r="AK111" i="1"/>
  <c r="AK102" i="1"/>
  <c r="AL76" i="1"/>
  <c r="AK56" i="1"/>
  <c r="AK61" i="1"/>
  <c r="AK66" i="1"/>
  <c r="AK74" i="1"/>
  <c r="AL56" i="1"/>
  <c r="CE13" i="1"/>
  <c r="CE24" i="1"/>
  <c r="CE33" i="1"/>
  <c r="CE56" i="1"/>
  <c r="CE76" i="1"/>
  <c r="CE85" i="1"/>
  <c r="CE93" i="1"/>
  <c r="CE102" i="1"/>
  <c r="CE104" i="1"/>
  <c r="CE113" i="1"/>
  <c r="CE124" i="1"/>
  <c r="AI56" i="1"/>
  <c r="AI33" i="1"/>
  <c r="AF13" i="1"/>
  <c r="AG13" i="1"/>
  <c r="AF24" i="1"/>
  <c r="AF28" i="1"/>
  <c r="AG24" i="1"/>
  <c r="AF37" i="1"/>
  <c r="AF43" i="1"/>
  <c r="AF48" i="1"/>
  <c r="AF55" i="1"/>
  <c r="AF56" i="1"/>
  <c r="AF61" i="1"/>
  <c r="AF66" i="1"/>
  <c r="AF71" i="1"/>
  <c r="AF74" i="1"/>
  <c r="AG33" i="1"/>
  <c r="AF76" i="1"/>
  <c r="AF79" i="1"/>
  <c r="AG76" i="1"/>
  <c r="AF85" i="1"/>
  <c r="AF87" i="1"/>
  <c r="AF88" i="1"/>
  <c r="AF89" i="1"/>
  <c r="AF90" i="1"/>
  <c r="AF91" i="1"/>
  <c r="AF92" i="1"/>
  <c r="AF96" i="1"/>
  <c r="AF97" i="1"/>
  <c r="AF98" i="1"/>
  <c r="AF99" i="1"/>
  <c r="AG85" i="1"/>
  <c r="AF105" i="1"/>
  <c r="AF106" i="1"/>
  <c r="AF111" i="1"/>
  <c r="AG102" i="1"/>
  <c r="AF113" i="1"/>
  <c r="AF121" i="1"/>
  <c r="AF123" i="1"/>
  <c r="AG113" i="1"/>
  <c r="AH13" i="1"/>
  <c r="U28" i="1"/>
  <c r="AA13" i="1"/>
  <c r="AA85" i="1"/>
  <c r="AC86" i="1"/>
  <c r="AC121" i="1"/>
  <c r="AC113" i="1"/>
  <c r="AC111" i="1"/>
  <c r="AC123" i="1"/>
  <c r="AD99" i="1"/>
  <c r="AC91" i="1"/>
  <c r="AC43" i="1"/>
  <c r="AC33" i="1"/>
  <c r="AD24" i="1"/>
  <c r="BW113" i="1"/>
  <c r="BW104" i="1"/>
  <c r="BW85" i="1"/>
  <c r="BW76" i="1"/>
  <c r="BW13" i="1"/>
  <c r="BW24" i="1"/>
  <c r="BW33" i="1"/>
  <c r="BW56" i="1"/>
  <c r="BW93" i="1"/>
  <c r="BW102" i="1"/>
  <c r="BW124" i="1"/>
  <c r="BT113" i="1"/>
  <c r="BT102" i="1"/>
  <c r="BT85" i="1"/>
  <c r="BT76" i="1"/>
  <c r="BT33" i="1"/>
  <c r="BT24" i="1"/>
  <c r="BT13" i="1"/>
  <c r="S113" i="1"/>
  <c r="X113" i="1"/>
  <c r="S121" i="1"/>
  <c r="X121" i="1"/>
  <c r="S123" i="1"/>
  <c r="X123" i="1"/>
  <c r="Y113" i="1"/>
  <c r="X105" i="1"/>
  <c r="X106" i="1"/>
  <c r="S111" i="1"/>
  <c r="X111" i="1"/>
  <c r="Y102" i="1"/>
  <c r="X85" i="1"/>
  <c r="X87" i="1"/>
  <c r="X88" i="1"/>
  <c r="X89" i="1"/>
  <c r="X90" i="1"/>
  <c r="X91" i="1"/>
  <c r="X92" i="1"/>
  <c r="X93" i="1"/>
  <c r="X96" i="1"/>
  <c r="X97" i="1"/>
  <c r="X98" i="1"/>
  <c r="X99" i="1"/>
  <c r="Y85" i="1"/>
  <c r="X79" i="1"/>
  <c r="Y76" i="1"/>
  <c r="X37" i="1"/>
  <c r="X43" i="1"/>
  <c r="X48" i="1"/>
  <c r="X54" i="1"/>
  <c r="X55" i="1"/>
  <c r="X56" i="1"/>
  <c r="X61" i="1"/>
  <c r="X66" i="1"/>
  <c r="X71" i="1"/>
  <c r="X74" i="1"/>
  <c r="Y33" i="1"/>
  <c r="X28" i="1"/>
  <c r="Y24" i="1"/>
  <c r="X13" i="1"/>
  <c r="Y13" i="1"/>
  <c r="BQ13" i="1"/>
  <c r="BP24" i="1"/>
  <c r="BQ24" i="1"/>
  <c r="BQ33" i="1"/>
  <c r="BQ56" i="1"/>
  <c r="BQ76" i="1"/>
  <c r="BQ85" i="1"/>
  <c r="BQ93" i="1"/>
  <c r="BQ102" i="1"/>
  <c r="BQ104" i="1"/>
  <c r="BQ113" i="1"/>
  <c r="BQ124" i="1"/>
  <c r="U91" i="1"/>
  <c r="U43" i="1"/>
  <c r="U74" i="1"/>
  <c r="U61" i="1"/>
  <c r="T23" i="1"/>
  <c r="U123" i="1"/>
  <c r="U114" i="1"/>
  <c r="M13" i="1"/>
  <c r="U121" i="1"/>
  <c r="U111" i="1"/>
  <c r="U33" i="1"/>
  <c r="V24" i="1"/>
  <c r="M106" i="1"/>
  <c r="M104" i="1"/>
  <c r="M102" i="1"/>
  <c r="M93" i="1"/>
  <c r="M85" i="1"/>
  <c r="M79" i="1"/>
  <c r="M76" i="1"/>
  <c r="M56" i="1"/>
  <c r="M33" i="1"/>
  <c r="M28" i="1"/>
  <c r="M24" i="1"/>
  <c r="W124" i="1"/>
</calcChain>
</file>

<file path=xl/sharedStrings.xml><?xml version="1.0" encoding="utf-8"?>
<sst xmlns="http://schemas.openxmlformats.org/spreadsheetml/2006/main" count="429" uniqueCount="367">
  <si>
    <t>PLAN  DE ACCION DEL 2017  -INSTIUTO DISTRITAL DE DEPORTE Y RECREACIÓN  (IDER)</t>
  </si>
  <si>
    <t>PLAN DE DESARROLLO</t>
  </si>
  <si>
    <t>PLAN DE ACCION</t>
  </si>
  <si>
    <t>(1) OBJETIVO</t>
  </si>
  <si>
    <t>(2) ESTRATEGIA</t>
  </si>
  <si>
    <t>(3) PROGRAMA</t>
  </si>
  <si>
    <t>(4) META RESULTADO PLAN DE DESARROLLO</t>
  </si>
  <si>
    <t xml:space="preserve">DESCRIPCIÓN DE LA META PRODUCTO </t>
  </si>
  <si>
    <t>(5) SUBPROGRAMA</t>
  </si>
  <si>
    <t>(6) META PRODUCTO PLAN DE DESARROLLO</t>
  </si>
  <si>
    <t>(7) PROYECTO</t>
  </si>
  <si>
    <t>LINEA BASE A 2015</t>
  </si>
  <si>
    <t>(8) META PRODUCTO A 2019</t>
  </si>
  <si>
    <t>(9) INDICADOR</t>
  </si>
  <si>
    <t>( 10) RESPONSABLE</t>
  </si>
  <si>
    <t>(11)  CRONOGRAMA  PROGRAMADO</t>
  </si>
  <si>
    <t>(12) RECURSOS</t>
  </si>
  <si>
    <t>(A) NOMBRE</t>
  </si>
  <si>
    <t>ACTIVIDADES</t>
  </si>
  <si>
    <t xml:space="preserve">ACTIVIDADES </t>
  </si>
  <si>
    <t>RUBRO PRESUPUESTAL</t>
  </si>
  <si>
    <t xml:space="preserve">FUENTES </t>
  </si>
  <si>
    <t xml:space="preserve">APROPIACION INICIAL </t>
  </si>
  <si>
    <t xml:space="preserve">CARTAGENA INCLUYENTE </t>
  </si>
  <si>
    <t xml:space="preserve">CIUDAD Y DEPORTE </t>
  </si>
  <si>
    <t>ESCUELA DE INICIACIÓN Y FORMACIÓN DEPORTIVA "ESCUELA DEPORTE"</t>
  </si>
  <si>
    <t xml:space="preserve">Incrementar a un 50% la participación de niños, niñas y  adolescentes en la Escuela de Iniciación y Formación Deportiva </t>
  </si>
  <si>
    <t>Incrementar a 27.714 el Número de niñas, niños y adolescentes entre 6 y 17 años vinculados a la Escuela de Iniciación y Formación Deportiva en zona rural y urbana.</t>
  </si>
  <si>
    <t>Número de niñas, niños y adolescentes entre 6 y 17 años vinculados a la Escuela de Iniciación y formación Deportiva en zona rural y urbana</t>
  </si>
  <si>
    <t>GUSTAVO GONZALEZ</t>
  </si>
  <si>
    <t xml:space="preserve">Impartir clases a los niñas, niños, adolescentes   en los diferentes niveles  de Iniciación y formación; Afianzamiento y proyección diversificada; y orientación focalizada. Además articularemos acciones entre el IDER y la Secretaria de Educación Distrital de tal manera  que esto permita a las instituciones eductivas distritales en la basica primaria y secundaria desarrollar sus clases de educación fisica en los 34 núcleos con que la Escuela de Iniciación y Formación Deportiva del IDER </t>
  </si>
  <si>
    <t xml:space="preserve">11 MESES </t>
  </si>
  <si>
    <t xml:space="preserve"> Se impartirán clases en las diferentes disciplinas deportivas a los niñas, niños, adolescentes en los diversos niveles de iniciación y formación</t>
  </si>
  <si>
    <t>DEPORTE ESTUDIANTIL</t>
  </si>
  <si>
    <t>Incrementar a 28,8% los niños, niñas , adolescentes y Jóvenes entre 6 y 7 años,  vinculados al programa Supérate-Intercolegiados</t>
  </si>
  <si>
    <t>Aumentar a 30.932 el Número de Niños, niñas, adolescentes y jóvenes entre 6 y 17 años, vinculados al programa Supérate-Intercolegiados</t>
  </si>
  <si>
    <t xml:space="preserve">Número de niñas, niños, adolescentes y jovenes entre 6 y 17 años, vicunlados al programa Supérate-Intercolegiados </t>
  </si>
  <si>
    <t>Organizar y ejecutar torneos para estudiantes de las I.E. del Distrito</t>
  </si>
  <si>
    <t xml:space="preserve">8 MESES </t>
  </si>
  <si>
    <t>ICAT (3%)</t>
  </si>
  <si>
    <t xml:space="preserve">Incrementar a 54% las instituciones educativas vinculadas al programa Supérate-Intercolegiados </t>
  </si>
  <si>
    <t>Aumentar a 200 el Número de IEO vinculadas a los Juegos Supérate-Intercoleglados</t>
  </si>
  <si>
    <t xml:space="preserve">Número de IE vinculadas a los Juegos Supérate-intercolegiados </t>
  </si>
  <si>
    <t>HABITOS Y ESTILOS DE VIDA SALUDABLE</t>
  </si>
  <si>
    <t xml:space="preserve">Incrementar al 33% la población que realiza una actividad física </t>
  </si>
  <si>
    <t>Aumentar a 300.000 el número de participantes vinculados a la actividad física</t>
  </si>
  <si>
    <t>PROMOCIÓN MASIVA DE UNA VIDA ACTIVA "ACTIVATE POR TU SALUD"</t>
  </si>
  <si>
    <t>Número de
participantes
vinculados o lo
actividad física</t>
  </si>
  <si>
    <t>ALBERTO OSORIO</t>
  </si>
  <si>
    <t xml:space="preserve">Organizar y ejecutar componente de "Madrúguele a la Salud" y "Noches Saludables" </t>
  </si>
  <si>
    <t xml:space="preserve">PROMOCIÓN MASIVA DE UNA VIDA ACTIVA"ACTIVATE POR TU SALUD" </t>
  </si>
  <si>
    <t xml:space="preserve">Se llevarán a cabo actividad física en los Centros Penitenciarios y Carcelarios del Distrito de Cartagena de Indias  donde se atenderán a 2.337  reclusas y reclusos  </t>
  </si>
  <si>
    <t>Organizar y ejecutar componente de actividad física carcelaria</t>
  </si>
  <si>
    <t>Se adelantarán en las empresas  asesorías y charlas de Hábitos y Estilos de  Vida Saludable , las cuales terminarán en una jornada de actividad física y aproximadamente se espera benenficiar a 22.865 personas</t>
  </si>
  <si>
    <t>Organizar y ejecutar componente de "Empresa Saludable"</t>
  </si>
  <si>
    <t>El Caminante Saludable , se desarrollará sobre rutas ya establecidas  , en el se desarrolla la práctica el ejecicio físico y se enseña técnicas adecuadas de marcha y trote , se beneficiarán a 180 personas</t>
  </si>
  <si>
    <t>Organizar y ejecutar componente de "Caminante Saludable"</t>
  </si>
  <si>
    <t xml:space="preserve">Organizar y ejecutar "Jovenes Saludables" </t>
  </si>
  <si>
    <t>Se crearán 2 puntos de atención de Jóvenes Saludables, el cual  busca promover Hábitos y Estilos de Vida Saludable e inculcar valores a través de la actividad física musicalizada en la modalidad de baile , beneficiando a 250 jóvenes.</t>
  </si>
  <si>
    <t>Se prestará  asesoramiento y acompañamiento técnico  a los deportistas que asisten  al  Centro de Acondicionamiento Físico , se espera beneficiar a 800 personas</t>
  </si>
  <si>
    <t>Asesorar y acompañar a los usuarios del Centro de Acondicionamiento Físico</t>
  </si>
  <si>
    <t xml:space="preserve">Se llevarán a cabo 7 Eventos Masivos de Actividad Física que beneficiarán  a 8.400 personas    </t>
  </si>
  <si>
    <t xml:space="preserve">Organizar y ejecutar "Mega-eventos" </t>
  </si>
  <si>
    <t xml:space="preserve">Incrementar a 65% la población participantes  de eventos recreativos  comunitarios </t>
  </si>
  <si>
    <t>Aumentar a 646.969 el número de participantes vinculados o los Eventos Recreativos Comunitarios</t>
  </si>
  <si>
    <t>EVENTOS RECREATIVOS  COMUNITARIOS " RECREANDO LA GENTE"</t>
  </si>
  <si>
    <t>Número de
participantes
vinculados a los
Eventos Recreativos
Comunitarios</t>
  </si>
  <si>
    <t xml:space="preserve"> Se realizarán 10   Eventos de Vacaciones Recreativas , en los cuales  brindaremos a las niñas y niños diferentes actividades recreo-deportivas que adelantaremos en el parque ecológico </t>
  </si>
  <si>
    <t>Organizar y ejecutar el componente de "Vacaciones Recreativas"</t>
  </si>
  <si>
    <t xml:space="preserve">2 MESES </t>
  </si>
  <si>
    <t>EVENTOS RECREATIVOS COMUNITARIOS "RECREANDO LA GENTE"</t>
  </si>
  <si>
    <t>Se realizarán 110 Vías Recreativas y Vías Saludables, se  beneficiaran 25.000 personas ,  esta actividad esta encaminada a generar espacios físicos transitorios dentro del distrito para que la comunidad goce del aprovechamiento del tiempo libre</t>
  </si>
  <si>
    <t>Organizar y ejecutar el componente "Vías Recreativas y Vías Saludables"</t>
  </si>
  <si>
    <t xml:space="preserve">Se realizaran 30 eventos entre "Cartagena es de los Niños y "Cartagena es de Todos" :  15 eventos  para Cartagena es de los Niños que va dirigiada a población infantil del Distrito de Cartagena de Indias brindándoles un día recreativo y visitas a sitios de interés de nuestra bella ciudad ; 15 para Caratgena es de Todos que va dirigida a los adultos mayores de 60 años brindándoles un día recreativo y visitas a sitios de interés de nuestra bella ciudad , se beneficiarán 3.000 personas </t>
  </si>
  <si>
    <t>Organizar y ejecutar el componente "Cartagena es de los Niños" y "Cartagena es de Todos"</t>
  </si>
  <si>
    <t xml:space="preserve">Se realizará un Festival Internacional de la Cometa ,en el cual asisten cometeros nacionales e internacionales mostrando diferentes modalidades de cometas y la comunidad del Distrito de Cartagena de Indias , se beneficiarán  a 7.000 personas </t>
  </si>
  <si>
    <t>Organizar y ejecutar el componente de "Festival Internacional de la Cometa"</t>
  </si>
  <si>
    <t xml:space="preserve">2  MESES </t>
  </si>
  <si>
    <t xml:space="preserve">Organizar y  Ejecutar  "Mega-eventos" </t>
  </si>
  <si>
    <t xml:space="preserve">Se realizarán 3 Eventos Masivos  de  Recreación y  apoyo a otras  actividades recreativas  </t>
  </si>
  <si>
    <t>INFRAESTRUCTURA DEPORTIVA</t>
  </si>
  <si>
    <t>Mejorar el 50% de los escenarios deportivos e incrementar en 1.5% los escenarios nuevos con enfoque de territorialidad</t>
  </si>
  <si>
    <t>Aumentar a 72 el número de escenarios deportivos construidos y reconstruidos</t>
  </si>
  <si>
    <t>CONSTRUCCIÓN ,ADECUACIÓN, MEJORAMIENTO Y MANTENIMIENTO DE LOS ESCENARIOS DEPORTIVOS "MÁS GENTE INTEGRADA"</t>
  </si>
  <si>
    <t>Número de escenarios existentes mantenidos, adecuados y mejorados</t>
  </si>
  <si>
    <t xml:space="preserve">En este año 2017, se realizarán 7 mantenimientos, adecuaciones  y mejoramientos de los escenarios deportivos </t>
  </si>
  <si>
    <t>CARLOS RAPALINO</t>
  </si>
  <si>
    <t>Realizar labores de mantenimiento de los escenarios deportivos</t>
  </si>
  <si>
    <t xml:space="preserve">12 MESES </t>
  </si>
  <si>
    <t>CONSTRUCIÓN ,  ADECUACIÓN, MEJORAMIENTO Y MANTENIMIENTO DE LOS ESCENARIOS DEPORTIVOS "MAS GENTE INTEGRADA"</t>
  </si>
  <si>
    <t>Aumentar a 100 el Número de escenarios existentes mantenidos, adecuados y mejorados</t>
  </si>
  <si>
    <t xml:space="preserve">Número de escenarios deportivos construidos y reconstruidos </t>
  </si>
  <si>
    <t xml:space="preserve">Se realizarán la construcción y reconstrucción de 14  escenarios deportivos </t>
  </si>
  <si>
    <t>Obra civil</t>
  </si>
  <si>
    <t xml:space="preserve"> 12  MESES </t>
  </si>
  <si>
    <t xml:space="preserve">DEPORTE SOCIAL Y COMUNITARIO </t>
  </si>
  <si>
    <t xml:space="preserve">Incrementar a 9% los participantes en las actividades deportivas y recreativas con inclusión social </t>
  </si>
  <si>
    <t xml:space="preserve">Aumentar a 40.000 el número de población vulnerable participantes en actividades de deporte y recreación con inclusión social y enfoque diferencial </t>
  </si>
  <si>
    <t>DEPORTE Y RECREACIÓN CON INCLUSION SOCIAL "GENTE DIVERSA"</t>
  </si>
  <si>
    <t xml:space="preserve">Número de población vulnerable participantes en actividades de deporte y recreación con inclusión social y enfoque diferencial </t>
  </si>
  <si>
    <t xml:space="preserve">Se llevarán a cabo los  juegos Paralimpicos y diversas clase de  eventos recreo-deportivos que beneficiaron a 600 personas  </t>
  </si>
  <si>
    <t>GUSTAVO GONZALEZ Y ALBERTO OSORIO</t>
  </si>
  <si>
    <t>Organizar y ejecutar los Juegos Paralimpicos y eventos deportivos y recreativos a población en condición de discapacidad.</t>
  </si>
  <si>
    <t>DEPORTE Y RECREACIÓN CON INCLUSIÓN SOCIAL "GENTE DIVERSA"</t>
  </si>
  <si>
    <t xml:space="preserve">Se realizará un evento para la población de  Primera Infancia , se espera beneficiar a 100 infantes </t>
  </si>
  <si>
    <t>Organizar y ejecutar eventos  para la población en condición de vulnerabilidad con enfoque diferencial  ( primera infancia, Jovenes en riesgo, LGTB, población Afro, población Indígenas, victimas y  mujeres)</t>
  </si>
  <si>
    <t xml:space="preserve">Se realizará 1 Eventos a los  Jovenes en Riesgo , con el que se pretende beneficiar a 100 jovenes </t>
  </si>
  <si>
    <t xml:space="preserve">Se llevará a cabo 1 Evento a la población  L.G.T.B., con el objetivo de beneficiar aproximadamente 100 personas </t>
  </si>
  <si>
    <t>Se realizará 1 Evento depotivo a la  Población Afro , en el cual se atenderán a 200 personas</t>
  </si>
  <si>
    <t>Se realizará 1 Evento depotivo a la  Población Indigenas , en el cual se atenderán a 200 personas</t>
  </si>
  <si>
    <t xml:space="preserve">Se realizará un evento deportivo para las victimas  en el cual participarán 1.255 personas </t>
  </si>
  <si>
    <t xml:space="preserve">Se atenderá a 100 Mujeres a través de un evento deportivo </t>
  </si>
  <si>
    <t xml:space="preserve">Incrementar a 55% los participantes en los Juegos Corregimientales, comunales, carcelarios y torneos de integración comunitaria </t>
  </si>
  <si>
    <t>Aumentar a 81.225 el Número de participantes en los Juegos Corregimentales, Comunales, Carcelarios y Torneos de Integración Comunitaria</t>
  </si>
  <si>
    <t>DEPORTE SOCIAL Y COMUNITARIO" PRIMERO LA GENTE, PRIMERO EL DEPORTE"</t>
  </si>
  <si>
    <t xml:space="preserve">Número de Participantes en los Juegos Corregimentales, Comunales, Carcelarios y Torneos de Integración Comunitaria </t>
  </si>
  <si>
    <t xml:space="preserve">Se realizarán los Juegos Corregimentales con la particípación de 4.300 personas y 24 corregimientos aproximadamente  </t>
  </si>
  <si>
    <t>Organizar y ejecutar los juegos Corregimentales</t>
  </si>
  <si>
    <t xml:space="preserve">4 MESES </t>
  </si>
  <si>
    <t>DEPORTE SOCIAL Y COMUNITARIO "PRIMERO LA GENTE, PRIMERO EL DEPORTE"</t>
  </si>
  <si>
    <t xml:space="preserve">Se desarrollarán  Torneos Deportivos  de Integración Comunitaria en 170 barrios del Distrito de Cartagena de Indias, en donde se beneficiaran 2.700 personas  </t>
  </si>
  <si>
    <t>Organizar y ejecutar Torneos de Integración Comunitaria</t>
  </si>
  <si>
    <t xml:space="preserve"> Se apoyarán los Juegos Comunales ,  que se realizarán en las localidades del Distrito de Cartagena de  Indias y tendrán una participación de 1.000 personas </t>
  </si>
  <si>
    <t xml:space="preserve">Apoyar  los Juegos Comunales </t>
  </si>
  <si>
    <t xml:space="preserve">Se desarrollarán   los Juegos Carcelarios  (San Diego,  Ternera y Asomenores ) y actividades recreo-deportivas , los cuales beneficiarán a 1.041 reclusas y reclusos </t>
  </si>
  <si>
    <t xml:space="preserve">Organizar , ejecutar los Juegos Carcelarios  y actividades recreo-deportivas </t>
  </si>
  <si>
    <t>Mantener en un 100% las iniciativas presentadas por la comunidad atendidas</t>
  </si>
  <si>
    <t>Mantener 100 iniciativas presentadas por la comunidad atendidas</t>
  </si>
  <si>
    <t>Número de Iniciativas presentadas por la comunidad atendidas</t>
  </si>
  <si>
    <t xml:space="preserve">Apoyarán 100   iniciativas presentadas por las comunidades del Distrito de Cartagena de Indias </t>
  </si>
  <si>
    <t>Apoyar la iniciativas presentadas por la comunidad (Clubes deportivos y recreativos  comunitarios, J.A.C.,y otros organismos deportivos de base comunitarios)</t>
  </si>
  <si>
    <t xml:space="preserve">DEPORTE ASOCIADO </t>
  </si>
  <si>
    <t xml:space="preserve">Incrementar al 100% los deportistas de altos logros y futuras estrellas del deporte apoyados </t>
  </si>
  <si>
    <t>Ejecutar 48 eventos de carácter nacional o internacional con sede en Cartagena de Indias</t>
  </si>
  <si>
    <t xml:space="preserve">CARTAGENA DE INDIAS, SIN FRONTERAS AL DEPORTE Y LA RECREACIÓN </t>
  </si>
  <si>
    <t>Número de eventos
de carácter nacional o
internacional con
sede en Cartagena
de Indias</t>
  </si>
  <si>
    <t>Apoyar los eventos deportivos y recreativos competitivos de carácter nacional e internacional</t>
  </si>
  <si>
    <t>CARTAGENA DE INDIAS, SIN FRONTERAS AL DEPORTE  Y LA RECREACIÓN</t>
  </si>
  <si>
    <t>100 deportistas de altos logros y futuros estrellas del deporte apoyados</t>
  </si>
  <si>
    <t>DEPORTE ASOCIADO "PRIMERO EL TALENTO DEPORTIVO"</t>
  </si>
  <si>
    <t>Número de
deportistas de altos
logros y futuros
estrellas del
deporte apoyados</t>
  </si>
  <si>
    <t xml:space="preserve">Se apoyaran 21  atletas de altos logros, futuras estrellas del deporte y viejas glorias del deporte </t>
  </si>
  <si>
    <t xml:space="preserve">Identificar los atletas de altos logros, futuras estrellas del deporte y viejas glorias del deporte  </t>
  </si>
  <si>
    <t>430 iniciativas de ligas, clubes y otras organizaciones deportivas apoyadas</t>
  </si>
  <si>
    <t>Número de
iniciativas
apoyadas o ligas,
clubes y otras
organizaciones
deportivas.</t>
  </si>
  <si>
    <t>Atender  y apoyar a los organismos deportivos para garantizarles  su participación digna en los eventos de alta competencia a nivel local, nacional e internacional asi como organizar y ejecutar eventos deportivos competitivos a clubes deportivos de la ciudad.</t>
  </si>
  <si>
    <t>Diseñar, formular y ejecutar un plan de intervenciones de infraestructura deportiva y de organización de los juegos deportivos nacionales</t>
  </si>
  <si>
    <t xml:space="preserve">JUEGOS DEPORTIVOS NACIONALES </t>
  </si>
  <si>
    <t>ND</t>
  </si>
  <si>
    <t>Plan formulado y
ejecutado</t>
  </si>
  <si>
    <t xml:space="preserve">Diseñar, formular y ejecutar un plan de intervenciones de infraestructura deportiva y de organización de los Juegos Deportivos Nacionales 2019 </t>
  </si>
  <si>
    <t xml:space="preserve">JUEGOS  DEPORTIVOS NACIONALES </t>
  </si>
  <si>
    <t xml:space="preserve">OBSERVATORIO DE CIENCIAS APLICADAS AL DEPORTE DE CARTAGENA DE INDIAS </t>
  </si>
  <si>
    <t>Aumentar a 100% las acciones estratégicas de  promoción y fomento de acividades deportivas y recreativas mediante la formulación de la Politca Pública y Plan Estratégico Distrital para la Recreación y el Deporte.</t>
  </si>
  <si>
    <t>Capacitar 7595 entrenadores, líderes comunitarios, administradores de organizaciones deportivas, jueces, dirigentes deportivos</t>
  </si>
  <si>
    <t>Numero de
entrenadores,
lideres
comunitarios,
administradores
de
organizaciones
deportivas,
jueces, dirigentes
deportivos
capacitados</t>
  </si>
  <si>
    <t>Capacitar en temas específicos de deporte y recreación . Difundir, promocionar y publicar los programas, proyectos, investigaciones y artículos de índole académico, económico o de otro aspecto del sector Deportes y Recreación adelentados por el IDER</t>
  </si>
  <si>
    <t xml:space="preserve">OBSERVATORIO  DE CIENCIAS APLICADAS AL DEPORTE DE CARTAGENA DE INDIAS </t>
  </si>
  <si>
    <t>Formular 2 acciones estratégicas de promoción y fomento de actividades deportivas y recreativas mediante IDER la formulación de la Política Pública y Plan Estratégico Distrital para la Recreación y el Deporte</t>
  </si>
  <si>
    <t>Plan Estratégico
Distrital para la
Recreación y el
Deporte a 2025 realizado e implementado</t>
  </si>
  <si>
    <t>Se desarrolllarán  el Plan Estratégico Distrital  para la  Recreación y el Deporte a 2015 y la Politica de Promoción, fomento y desarrollo de lac actividades recreativas y deportivas diseñado, formulado , implementado y ejecutado</t>
  </si>
  <si>
    <t>11  MESES</t>
  </si>
  <si>
    <t xml:space="preserve">
La Política de
Promoción,
fomento y
desarrollo de la
actividades
recreativas y
deportivas,
realizado e
implementodo</t>
  </si>
  <si>
    <t>VALOR A DICIEMBRE 31 DE 2017</t>
  </si>
  <si>
    <t>( D )VALOR A DICIEMBRE 31 DE 2018</t>
  </si>
  <si>
    <t xml:space="preserve">META PROYECTO A 2018 </t>
  </si>
  <si>
    <t xml:space="preserve">Se crearán 3  nuevos núcleos , los cuales beneficiaran a 480 niñas , niños y adolescentes </t>
  </si>
  <si>
    <t xml:space="preserve">Se realizarán los Juego Superate- Intercolegiados, los cuales beneficiarán a 2.543 deportitas  </t>
  </si>
  <si>
    <t xml:space="preserve">Se vincularán  14 nuevas Instituciones Educativas </t>
  </si>
  <si>
    <t xml:space="preserve">Se crearán 3 nuevos puntos de atención  de actividad física comunitaria que beneficiarán a 153 personas </t>
  </si>
  <si>
    <t>Diseñar, formular y ejecutar un Plan Estrategico Distrital para la Recreación y el Deporte a 2025 y la  Politica de Promoción, fomento y desarrollo de las actividades recreativas y deportivas , asi como estrablecer y construir  una libe base del deporte , la recreación , la actividad fisica y el aprovechamiento del tiempo libre del Distrito de Cartagena de Indias . Fortelecr la formación académica, técnica, tecnóloga, profesional  y especializada del talento humano al servicio del deporte , la recreación, actividad fisica y aprovehcmaiento del tiempo libre en el Distrito de Caratgena de Indias. Elevar el nivel de desarrollo del deporte, la recreación, actividad fisíca  y aprovechamiento del tiempo libre en el distrito de Caratgena de indias, mediante la implementación de conceptos científico-técnicos-superiores a través de las  ciencias aplciadas al deporte . Recopilar, procesar y difundir la información pertinente al Deporte, la Recreación , Actividad Física y Aprovechameinto del Tiempo Libre en el Distrito de Cartagena para ponerla a disposición de los actores involucrados en el manejo de los temas petinenetes. Contribuyendo con la orientación de la formulación de las polítcas públcias y políticas  sociales, con el objeto de lograr la multiplicación de la participación comunitaria y ciudadana.</t>
  </si>
  <si>
    <t>Número  de deportitas  apoyados para los Juegos  Deportivos Nacionales  2019</t>
  </si>
  <si>
    <t>Con miras  al cumplimiento institucional del IDER, se apoyarán a deportistas  que se preparan para participar en los próximos JJNN 2019 en representación del Distrito de Cartagena de Indias.</t>
  </si>
  <si>
    <t xml:space="preserve">Se apoyarán 2 eventos deportivos y recreativos de carácter nacional e internacional a realizarse en el Distrito de Cartagena de Indias </t>
  </si>
  <si>
    <t>Se apoyaran 25   inicitivas presentadas por la ligas, clubes y otras organizaciones deportivas</t>
  </si>
  <si>
    <t xml:space="preserve"> Se realizara un  Plan de Intervenciones de la infraestructura deportiva  y organización de los Juegos Deportivos Nacionales 2019  dentro de los cuales se llevara a cabo los siguientes actividades  evaluación de capacidad instalada, selección de instalaciones deportivas para competencia,planeación y programación generalde las etapas del plan,caracterizacion de los escenarios deportivos entre otras. </t>
  </si>
  <si>
    <t>Se llevarán a cabo 45 capacitaciones donde se espera beneficiar a 1,899  dirigentes , entrenadores,  deportitas entre otros .</t>
  </si>
  <si>
    <t xml:space="preserve">VALOR  DE ENERO A MARZO  2018 </t>
  </si>
  <si>
    <t xml:space="preserve">VALOR TOTAL DE ENERO A MARZO DEL 2018 </t>
  </si>
  <si>
    <t xml:space="preserve">% de ejecución a Marzo  del  2018  </t>
  </si>
  <si>
    <t xml:space="preserve">% de avance del proyecto a  Marzo  del 2018 </t>
  </si>
  <si>
    <t xml:space="preserve">% de avance del proyecto a  Marzo del 2018  </t>
  </si>
  <si>
    <t xml:space="preserve">Se realizaron Actividades Fisicas en los  Centros Penitenciarios y Carcelarios de Ternera, San Diego y Asomenores , en los cuales se atendieron en este primer  trimestre 430  ciudadados (entre reclusos y reclusas). </t>
  </si>
  <si>
    <t>Se han llevado a cabo reuniones para la coordinación  y planificación para apoyar el Festival FIDES.</t>
  </si>
  <si>
    <t>Este momento nos encontramos en etapa de  planeación y organización de estos eventos para poderlos llevar a cabo en este segundo trimestre del año 2018 .</t>
  </si>
  <si>
    <t xml:space="preserve">Este momento nos encontramos en etapa de  planeación y organización de estos eventos para poderlos llevar a cabo en este segundo trimestre del año 2018. </t>
  </si>
  <si>
    <t>El Director  realizó una vista a las instalaciones de ASOMENORES con el objetivo  de planificar, organizar y revisar el presupuesto de los diferentes eventos que se realizaran en el  próximo semestre , asi como también  nos encontramos  planificando , organizando y revisando el presupuesto para los eventos en los demás  centro penitenciarios y carcelarios del distrito de Cartagena de Indias.</t>
  </si>
  <si>
    <t>Durante este primer trimestre se atendieron a 52 deportistas , los cuales son los siguientes: NEYLA A GONZALEZ, GREGORIA GOMEZ , GABRIEL JOSE BARRETO, ALVARO CARRASQUILLA V., MARIA JOSE PORTO, ELIZABETH ARNEDO ,INGLEBERTO GONZALEZ ,ANGUIE PEREZ,ELVIRA PEREZ,STEPHANIA HURTADO, ADRIANA MEZA, JISLAIDE PACHECO,ROSALBA MORALES DEL AGUILA,WALTER BELEÑO,RAFAEL CERRO ,ALBA TABORDA,ISAMAR BLANCO,GREY DANIELA HERRERA,DORA DE DEULOFUTT TOVAR,MARCO TULIO BLANCO,FEDERICO,ANDRE GARCIA, ROBET CORDOBA,JULIAN SUAREZ,PABLO SANCHEZ,ELIAS ECHEVERRYA, JAVER HURTADO,CAMILO MARMOL,NELSON ESALAS,MICHAEL ZABALETA,JEISON ORTIZ,LAZARO CACERES,DELKIN MIRANDA,JOSE JINETE,ANA CAMACHO,LIBIA DE LA ROSA,LUZ LEIDY LOPEZ,YURIKA MARMOL ,ANDRES FELIPE JURADO ,MARIA JOSE ROSADO ,ALVARO CHICA,JORGE SALAS ,SOLIBETH NUÑEZ,BETSY CAICEDO ,SHIRLEY ESCORCIA,YANITZA MENGUAL,YULEIMA GARCIA,MAYRA ESPITALETA,LUZ LEIVIS PEREZ,EDUAR YEPEZ,GERMAN SANTOYA,MARIA ALEJANDRA GUERRERO B.,ANA HERNANDEZ.</t>
  </si>
  <si>
    <t>Contamos con  100 puntos de actividad fisica ,  diariamente se benefician a  5.219 personas aproximadamente en subprogramas de Madrugále a la Salud y Noches saludables.</t>
  </si>
  <si>
    <t xml:space="preserve"> El programa "El Caminante Saludable",  a la fecha, benefició un total de 175 beneficiados desde el mes de enero a  marzo de la cursante anualidad </t>
  </si>
  <si>
    <t>Se encuentra en etapa de planificación y organización para realizarlo en el próximo trimestre del año 2018.</t>
  </si>
  <si>
    <r>
      <t>Dentro de este item  también sumamos las personas beneficiadas en  el  apoyo  a otras actividades recreativas , durante este  primer trimestre  del año 2018  participaron 3.415  personas , se realizaron</t>
    </r>
    <r>
      <rPr>
        <sz val="16"/>
        <color rgb="FFFF0000"/>
        <rFont val="Calibri"/>
        <family val="2"/>
        <scheme val="minor"/>
      </rPr>
      <t xml:space="preserve"> </t>
    </r>
    <r>
      <rPr>
        <sz val="16"/>
        <rFont val="Calibri"/>
        <family val="2"/>
        <scheme val="minor"/>
      </rPr>
      <t>13</t>
    </r>
    <r>
      <rPr>
        <sz val="16"/>
        <color rgb="FFFF0000"/>
        <rFont val="Calibri"/>
        <family val="2"/>
        <scheme val="minor"/>
      </rPr>
      <t xml:space="preserve"> </t>
    </r>
    <r>
      <rPr>
        <sz val="16"/>
        <rFont val="Calibri"/>
        <family val="2"/>
        <scheme val="minor"/>
      </rPr>
      <t>actividades recreativas aproximadamente .</t>
    </r>
  </si>
  <si>
    <t>Se desarrollaron asesorías y charlas de Hábitos y Estilos de  Vida Saludable en diferentes empresas del Distrito de Cartagena de Indias, que beneficiaron a  2.487 personas</t>
  </si>
  <si>
    <t>El Festival Internacional de la Cometa  se realiza durante el mes de agosto y dura aproximadamente 4 días.</t>
  </si>
  <si>
    <t>Se apoyaron 3  inicitivas presentadas por las ligas, clubes y otras organizaciones deportivas durante el mes de Enero hasta el mes de marzo del presente año. El valor total de las iniciativas apoyadas asciende a $280.818.000.</t>
  </si>
  <si>
    <t xml:space="preserve"> A la fecha,  de enero a marzo del año 2018  se han creado  dos  nuevos  núcleos: Isla Fuerte y Huellas Albeto Uribe.  Adicionalmente, el IDER cuenta con núcleos de EIFD en la zona insular como son:  Bocachica,  Barú, Santa Ana , Ararca.  Se beneficiaron a  5.769 niñas , niños y adolescentes. </t>
  </si>
  <si>
    <t>Se crearon 3 puntos de atención de jóven saludable en los barrios: Manuela Vergara de Curi, La Maria y Bellavista
 con 336 beneficiarios en este primer  trimestre.</t>
  </si>
  <si>
    <t>Se  desarrolló  el programa de Escuelas Recreativas con  niños y niñas de primera infancia en los corregimientos del Distrito de Cartagena de Indias , para un total de 1.336 beneficiados. Se desarrolla en los corregimientos :Bayunca, Tierra Bomba, Boquilla, Pasacaballo, Punta Canoa, Puerto Rey, Manzanillo, Tierra  Baja , Punta Arena.</t>
  </si>
  <si>
    <t>Cada sábado,  se realizan encuentros del Campamento Juvenil del Distrito (con el acompañamiento de Coldeportes) en el barrio Huellas Alberto Uribe Uribe, este programa va dirigido a Jóvenes víctimas del conflicto armado colombiano, así como a desplazados por la violencia. Los beneficiados cuenta con edades que oscilan entre los 13 y 17 años. El programa maneja 5 ejes temáticos especiales para rehabilitación, inclusión y protección de la población víctima, durante este primer trimestre se han beneficiado a un total de 431 jóvenes .</t>
  </si>
  <si>
    <t xml:space="preserve"> Éste importante evento deportivo se encuentra en etapa de inscripciones, se han adelantado reuniones informativas, las disciplinas que estarán en competencias son las siguientes: Beisbol, Fútbol, Futsalón, Softbol, Atletismo , se contará con la participación de 26 corregimientos (Barú, Bocachcica, Caño del oro, Punta Arena, Santa Ana, Ararca, Tierra Bomba, Isla Fuerte, Islote, Arroyo Grande, La Europa, Arroyo de Piedra, Arroyo de Las Canoas, Nayunca, Boquilla, Manzanillo del Mar, Marlinda, tierra Baja, Pontezuela, Punta Canoa, Villa  Gloria , Pasacaballos, Membrillal, Leticia, Recreao, Bajo El Tigre), en las disciplinas deportivas de: Semillero Futbol, Ajedrez, Golito, Voleibol, Baloncesto , Atletismo, Bate de Tapita , Domino Futsalón, Tenis de Mesa, Semillero  de beisbol.</t>
  </si>
  <si>
    <t xml:space="preserve">Durante este período se llevarón a cabo 6 capacitaciones las cuales fueron: Taller de Simetría Aeróbica, Comando Visual y Verbal, proceso pedagógico, protocolo de clase, Capacitación a los dirigentes, instructores , coordinadores de los Juegos Corregimentales, Comunicación Asertiva y manejo del estado de ánimo en el trabajo, Conceptos de Recreación,  tiempo libre, Ocio  y Juego para Escuelas Recreativas, Fundamentos Lúdicos en la educación y Sembrando Semilla , se benefiaciaron a 640  personas. </t>
  </si>
  <si>
    <t xml:space="preserve">APROPIACION EJECUTADA A MARZO DEL 2018  </t>
  </si>
  <si>
    <t xml:space="preserve">APROPIACIÓN DEFINITIVA   A MARZO DEL  2018 </t>
  </si>
  <si>
    <t xml:space="preserve">% DE EJECUCIÓN A  MARZO DEL 2018  </t>
  </si>
  <si>
    <t xml:space="preserve">Se espera en el segundo trimestre del año 2018  realizar el  Día  Mundial de la Actividad  Fisica . </t>
  </si>
  <si>
    <t>Se ha continuado con la obra del barrio La  Candelaria en  la realización de 3 canchas, las cuales se encuentra en un porcentaje del 90% , se espera para el próximo trimestre realizar algunas obras nuevas.</t>
  </si>
  <si>
    <t xml:space="preserve">Se espera  llevar a cabo este evento a mediados del año 2018 y de acuerdo a lo que se establezca con la comunidad de las diferentes locaidades.  </t>
  </si>
  <si>
    <t xml:space="preserve">Durante  los meses de enero a marzo se llevarón a cabo 9 eventos : Torneo Nacional Centroamericano y del Caribe de Balónmano Playa, Torneo de Beisbol, -Sembrando Semillas,Campeonato Pre-Junior Futuras Estrellas de la Pelota Caliente, Nacional de Surf I Velada, Juegos deportivos Isla Barú, Copa Virgen de la Candelaria-Beisbol, Cuadragular de Futbol por Cartagena , Caniba Rugby, Juntos por la Niñez Cartagenera II Carrera 5K -10K   </t>
  </si>
  <si>
    <t>Las vacaciones recreativas  se realizaran a mitad del año 2018  y en conjunto con el candelario  de las instituciones educativas del Distrito de Cartagena de Indias.</t>
  </si>
  <si>
    <r>
      <t xml:space="preserve"> Se atendieron </t>
    </r>
    <r>
      <rPr>
        <sz val="16"/>
        <color theme="1"/>
        <rFont val="Calibri"/>
        <family val="2"/>
        <scheme val="minor"/>
      </rPr>
      <t xml:space="preserve"> 5</t>
    </r>
    <r>
      <rPr>
        <sz val="16"/>
        <color rgb="FFFF0000"/>
        <rFont val="Calibri"/>
        <family val="2"/>
        <scheme val="minor"/>
      </rPr>
      <t xml:space="preserve"> </t>
    </r>
    <r>
      <rPr>
        <sz val="16"/>
        <rFont val="Calibri"/>
        <family val="2"/>
        <scheme val="minor"/>
      </rPr>
      <t xml:space="preserve"> iniciativas presentadas por la comunidad durante los meses de enero a  marzo del 2018 </t>
    </r>
  </si>
  <si>
    <r>
      <rPr>
        <sz val="16"/>
        <rFont val="Calibri"/>
        <family val="2"/>
        <scheme val="minor"/>
      </rPr>
      <t>Se atenieron a 5  Viejas Glorias del Deporte en este primer trimestre como:</t>
    </r>
    <r>
      <rPr>
        <sz val="11"/>
        <rFont val="Calibri"/>
        <family val="2"/>
        <scheme val="minor"/>
      </rPr>
      <t xml:space="preserve"> </t>
    </r>
    <r>
      <rPr>
        <sz val="10"/>
        <rFont val="Calibri"/>
        <family val="2"/>
        <scheme val="minor"/>
      </rPr>
      <t>JOSE DOMINGO MOLINARES (FUTBOL) , DANIEL MERCADO (BEISBOL), RAFAEL ZUÑIGA (BOXEO) , MERCEDES BELFORD (SOFTBOL) , CARLOS MEJIA VALENCIA (BOXEO).</t>
    </r>
  </si>
  <si>
    <t>A la fecha, el IDER  el ider se encuentra en la etapa  5 (quinta) de su Plan de intervenciones de la Infraestructura Deportiva , es decir se viene realizano el cálculo de los costos estimados de las instalaciones deportivas, los escenarios deportivos se evaluaron especificando o detallando los montos de los trabajos de obras a realizar.</t>
  </si>
  <si>
    <t xml:space="preserve">Los Torneos de Integración Comunitaria están proyectados para realizarse a mediados de año, en los diferentes sectores del distrito y las disciplinas que se llevaran a cabo son las siguientes: Semillero de Beisbol, Semillero de Fútbol, Fútbol, Golito, Ajedrez, Voleibol, Baloncesto, atletismo, Boxeo, bate y Tapita, Domino, Tenis de Mesa, Futsalón.   </t>
  </si>
  <si>
    <r>
      <t xml:space="preserve">Se realizaron 29  visitas técnicas desde Enero a  Marzo del año 2018.  A la fecha, se licitó y adjudicó el contrato de obras de adecuación  del escenario deportivo Northon  Madrid , 20 escenarios deportivos han recibido intervenciones menores, mantenimiento de zonas verdes, el aseo de los mismos y el suministro de los servicios públicos (energía eléctrica y agua): </t>
    </r>
    <r>
      <rPr>
        <sz val="16"/>
        <color rgb="FFFF0000"/>
        <rFont val="Calibri"/>
        <family val="2"/>
        <scheme val="minor"/>
      </rPr>
      <t xml:space="preserve"> </t>
    </r>
    <r>
      <rPr>
        <sz val="16"/>
        <rFont val="Calibri"/>
        <family val="2"/>
        <scheme val="minor"/>
      </rPr>
      <t>COLISEO BERNARDO CARABALLO, ESTADIO DE BEISBOL MONO JUDAS, COLISEO CHICO DE HIERRO, ESTADIO DE SOFTBOL DE LOS CARACOLES, ESTADIO DE BEISBOL 11 DE NOVIEMBRE, ESTADIO DE SOFTBOL DE CHIQUINQUIRA, UNIDAD DEPORTIVA EL CAMPESTRE, ESTADIO DE SOFTBOL LOS CERROS, COMPLEJO ACUATICO, CONSORCIO REGIONAL PARQUE DE RAQUETA, ESTADIO DE ATLETISMO, COLISEO DE COMBATE, CANCHA DE FUTBOL ALAMEDA LA VICTORIA, ESTADIO DE FUTBOL SAN FERNANDO, ESTADIO DE SOFTBOL DE LAS GAVIOTAS, POLIDERPORTIVO JUAN C. ARANGO,  ESTADIO DE BEISBOL INFANTIL DANIEL LEMAITRE, ESTADIO JAIME MORÓN, ESTADIO LOS CALAMARES, CANCHA DE SOFTBOL SAN FRANCISCO.</t>
    </r>
  </si>
  <si>
    <t>% de ejecución a Marzo  del  2018  SEGÚN PLANEACION</t>
  </si>
  <si>
    <t>% de ejecución a Marzo  del  2018  SEGÚN PLANEACION POR PROGRAMA</t>
  </si>
  <si>
    <t>% de ejecución a Marzo  del  2018  POR LINEA ESTRATEGICA</t>
  </si>
  <si>
    <t>APROPIACION DEFINITIVA  SEGÚN PREDIS</t>
  </si>
  <si>
    <t>APROPIACION EJECUTADA   SEGÚN PREDIS</t>
  </si>
  <si>
    <t>%DE EJECUCION POR PROGRAMAS SEGÚN PLANEACIUON</t>
  </si>
  <si>
    <t xml:space="preserve">OBSERVACIONES DE ENERO A MARZO DEL 2018 </t>
  </si>
  <si>
    <t xml:space="preserve">OBSERVACIONES DE ENERO A JUNIO DEL 2018 </t>
  </si>
  <si>
    <t xml:space="preserve">VALOR  DE ENERO A JUNIO  2018 </t>
  </si>
  <si>
    <t xml:space="preserve">VALOR TOTAL DE ENERO A JUNIO DEL 2018 </t>
  </si>
  <si>
    <t>Durante este primer trimetre  se realizaron 11 vías recreativas, con un total de 2.206 personas  beneficiadas.</t>
  </si>
  <si>
    <r>
      <t>Dentro de este item  también sumamos las personas beneficiadas en  el  apoyo  a otras actividades recreativas , durante este  primer semestre  del año 2018  participaron 13.938  personas , se realizaron</t>
    </r>
    <r>
      <rPr>
        <sz val="16"/>
        <color rgb="FFFF0000"/>
        <rFont val="Calibri"/>
        <family val="2"/>
        <scheme val="minor"/>
      </rPr>
      <t xml:space="preserve"> </t>
    </r>
    <r>
      <rPr>
        <sz val="16"/>
        <rFont val="Calibri"/>
        <family val="2"/>
        <scheme val="minor"/>
      </rPr>
      <t>68 actividades recreativas aproximadamente .</t>
    </r>
  </si>
  <si>
    <t xml:space="preserve"> El programa "El Caminante Saludable",  a la fecha, benefició un total de 175 beneficiados desde el mes de enero a  junio  de la cursante anualidad. </t>
  </si>
  <si>
    <t>Se crearon 3 puntos de atención de jóven saludable en los barrios: Manuela Vergara de Curi, La Maria y Bellavista
 con 324  beneficiarios en este primer  semestre , hubo una disminición aproximada de 12 jovenes.</t>
  </si>
  <si>
    <t>Se realizaron jornadas de asesoría y acompañamiento técnico durante el primer trimestre , de las cuales se beneficiaron  a  348 deportistas  que asisten al Centro de Acondicionamiento Físico.</t>
  </si>
  <si>
    <t>Este momento nos encontramos en etapa de  planeación y  organización de estos eventos para poderlos llevar a cabo en este segundo trimestre del año 2018 .</t>
  </si>
  <si>
    <t>Este momento nos encontramos en etapa de  planeación y organización de estos eventos para poderlos llevar a cabo en este segundo semestre  del año 2018 .</t>
  </si>
  <si>
    <t xml:space="preserve">Este momento nos encontramos en etapa de  planeación y organización de estos eventos para poderlos llevar a cabo en este segundo semestre  del año 2018. </t>
  </si>
  <si>
    <t>Cada sábado,  se realizan encuentros del Campamento Juvenil del Distrito (con el acompañamiento de Coldeportes) en el barrio Huellas Alberto Uribe Uribe, este programa va dirigido a Jóvenes víctimas del conflicto armado colombiano, así como a desplazados por la violencia. Los beneficiados cuenta con edades que oscilan entre los 13 y 17 años. El programa maneja 5 ejes temáticos especiales para rehabilitación, inclusión y protección de la población víctima, durante este primer semestre  se han beneficiado a un total de 843 jóvenes .</t>
  </si>
  <si>
    <t>Se realizaron actividades recreativas  donde se beneficiaron a 200 niños y niñas con discapacidad ,contamos con entrenadores para disciplinas como futbol,boccia, atletismo, natación, baloncesto en sillas de ruedas, voleibol sentado., se han entregado apoyo economico a deportistas con discapacidad auditiva, física, parálisis cerebral. Se apoyaron a 10 deportistas con discapacidad por un valor aproximado de 30.000.000</t>
  </si>
  <si>
    <t xml:space="preserve"> Se atendieron  5  iniciativas presentadas por la comunidad durante los meses de enero a  junio  del 2018 </t>
  </si>
  <si>
    <t xml:space="preserve">Durante  los meses de enero a marzo se llevarón a cabo 14 eventos : Torneo Nacional Centroamericano y del Caribe de Balónmano Playa, Torneo de Beisbol, -Sembrando Semillas,Campeonato Pre-Junior Futuras Estrellas de la Pelota Caliente, Nacional de Surf I Velada, Juegos deportivos Isla Barú, Copa Virgen de la Candelaria-Beisbol, Cuadragular de Futbol por Cartagena , Caniba Rugby, Juntos por la Niñez Cartagenera II Carrera 5K -10K, Copa  Nacional de Desarrollo de Baloncesto, Velada de Boxeo Internacional 25 años IDER, Campeonato Nacional de Beisbol Infantil,  II Velada  de boxeo Internacional en la Plazoleta del Reloj Público , Festival Deportivo  de la Playa.  </t>
  </si>
  <si>
    <t>Durante este primer trimestre se atendieron a 52 deportistas , los cuales son los siguientes: NEYLA A GONZALEZ, GREGORIA GOMEZ , GABRIEL JOSE BARRETO, ALVARO CARRASQUILLA V., MARIA JOSE PORTO, ELIZABETH ARNEDO ,INGLEBERTO GONZALEZ ,ANGUIE PEREZ,ELVIRA PEREZ,STEPHANIA HURTADO, ADRIANA MEZA, JISLAIDE PACHECO,ROSALBA MORALES DEL AGUILA,WALTER BELEÑO,RAFAEL CERRO ,ALBA TABORDA,ISAMAR BLANCO,GREY DANIELA HERRERA,DORA DE DEULOFUTT TOVAR,MARCO TULIO BLANCO,FEDERICO ANDRE GARCIA, ROBET CORDOBA,JULIAN SUAREZ,PABLO SANCHEZ,ELIAS ECHEVERRYA, JAVER HURTADO,CAMILO MARMOL,NELSON ESALAS,MICHAEL ZABALETA,JEISON ORTIZ,LAZARO CACERES,DELKIN MIRANDA,JOSE JINETE,ANA CAMACHO,LIBIA DE LA ROSA,LUZ LEIDY LOPEZ,YURIKA MARMOL ,ANDRES FELIPE JURADO ,MARIA JOSE ROSADO ,ALVARO CHICA,JORGE SALAS ,SOLIBETH NUÑEZ,BETSY CAICEDO ,SHIRLEY ESCORCIA,YANITZA MENGUAL,YULEIMA GARCIA,MAYRA ESPITALETA,LUZ LEIVIS PEREZ,EDUAR YEPEZ,GERMAN SANTOYA,MARIA ALEJANDRA GUERRERO B.,ANA HERNANDEZ.</t>
  </si>
  <si>
    <t xml:space="preserve">A la fecha, el IDER  el ider se encuentra en la etapa  5 (quinta) de su Plan de intervenciones de la Infraestructura Deportiva , es decir se viene realizando el cálculo de los costos estimados de las instalaciones deportivas, los escenarios deportivos se evaluaron especificando o detallando los montos de los trabajos de obras a realizar, con estas variaciones se realizaron los ajustes a las MGA  de los 9 proyectos  de los escenrios deportivos y su documento técnico. Por lo anterior cinco de ellos se presentaran ante la OCAD distrital para sean financiados por recursos del Sistema General  de Regalias (SGR)  y   los otros con recursos del Distrito y del IDER, asi mismo fueron revisados por el DNP  para ir avanzando en el proceso.            </t>
  </si>
  <si>
    <t xml:space="preserve">Durante este período se llevarón a cabo 8 capacitaciones las cuales fueron: Taller de Simetría Aeróbica, Comando Visual y Verbal, proceso pedagógico, protocolo de clase, Capacitación a los dirigentes, instructores , coordinadores de los Juegos Corregimentales, Comunicación Asertiva y manejo del estado de ánimo en el trabajo, Conceptos de Recreación,  tiempo libre, Ocio  y Juego para Escuelas Recreativas, Fundamentos Lúdicos en la educación y Sembrando Semilla, Capacitación Legislativa  Deportiva , I Congreso Nacional sobre Deporte  Escolar y Estilos de Vida Saludable , se benefiaciaron a 1.520   personas. </t>
  </si>
  <si>
    <t>• Se realizó la planificación y construcción de la programación de la Escuela de Iniciación de Formación Deportiva de los docentes y jefes del IDER.
• Se realizo la capacitación a los Dirigentes, Instructores, Coordinadores de los Juegos Corregimentales.
•  Se está llevando a cabo la Inspección y  vigilancia de la reglamentación de las Ligas y Clubes  Deportivos para la vigencia y existencia de la misma.
• Se realiza el debido acompañamiento de cada unos de los Eventos Deportivos que se han realizado en el Instituto del IDER.
• Se lleva a cabo el control y la existencia de cuantas Escuelas de Iniciación Deportiva se encuentran vigentes y actuales en el Distrito.
• Se investigó en la Secretaria de Educación cuántos niños se encontraban  matriculados en la básica primaria por edades, cuales están en el sector Público y Privado, cuantos están en cada curso, cuántos de estos se retiraron y si estos mismo llevaban a cabo la asignatura de Educación Física.
• Se está llevando el control y seguimiento de cada uno de los Convenios realizados con las Instituciones educativas u Universidades del Distrito.
• A través del Observatorio se ha realizado 5 carreras Técnicas en Organización de Eventos Recreo deportivos, Actividad Física, Entrenamiento de Gimnasio y Recreación y actualmente se desarrolla la carrera Tecnóloga en Actividad Física mediante el convenio 002 de Abril 20 del 2015 con el SENA.</t>
  </si>
  <si>
    <t xml:space="preserve">• Se realizó la planificación y construcción de la programación de la Escuela de Iniciación de Formación Deportiva de los docentes y jefes del IDER.
• Se realizo la capacitación a los Dirigentes, Instructores, Coordinadores de los Juegos Corregimentales. 
• Se realiza el debido acompañamiento de cada unos de los Eventos Deportivos que se han realizado en el Instituto del IDER.
• Se lleva a cabo el control y la existencia de cuantas Escuelas de Iniciación Deportiva se encuentran vigentes y actuales en el Distrito.
• Se investigó en la Secretaria de Educación cuántos niños se encontraban  matriculados en la básica primaria por edades, cuales están en el sector Público y Privado, cuantos están en cada curso, cuántos de estos se retiraron y si estos mismo llevaban a cabo la asignatura de Educación Física.
• Se está llevando el control y seguimiento de cada uno de los Convenios realizados con las Instituciones educativas y  Universidades del Distrito.
• A través  del Observatorio se ha realizado 5 carreras Técnicas en Organización de Eventos Recreo deportivos, Actividad Física, Entrenamiento de Gimnasio y Recreación y actualmente se desarrolla la carrera Tecnóloga en Actividad Física mediante el convenio 002 de Abril 20 del 2015 con el SENA.                                                                                                                                                                                                                     • Se está llevando a cabo la Inspección y  vigilancia de la reglamentación de las Ligas y Clubes  Deportivos para la vigencia y existencia de la mismo.                                                                                                                                                                                                                                             En este segundo trimestre del año 2018 se llevaron a cabo  las siguientes  investigaciones: 1. Estado actual de la Ligas y Clubes del distrito y departamento de Bolívar, 2. Se realizo un estudio estadístico sobre los diferentes programas del IDER , 3.  Se continúa con el estudio estadístico sobre los diferentes programas del IDER. </t>
  </si>
  <si>
    <t xml:space="preserve">APROPIACIÓN DEFINITIVA   A JUNIO DEL  2018 </t>
  </si>
  <si>
    <t xml:space="preserve">APROPIACION EJECUTADA A JUNIO DEL 2018  </t>
  </si>
  <si>
    <t xml:space="preserve">% DE EJECUCIÓN A  JUNIO  DEL 2018  </t>
  </si>
  <si>
    <t>Durante este primer trimetre  se realizaron 29 vías recreativas, con un total de 5.627 personas  beneficiadas.</t>
  </si>
  <si>
    <t>Se  beneficio a través de  el programa de Escuelas Recreativas con  niños y niñas de primera infancia en los corregimientos del Distrito de Cartagena de Indias en este primer semestre hubo 8.153 beneficiados. Se desarrolla en los corregimientos :Bayunca, Tierra Bomba, Boquilla, Pasacaballo, Punta Canoa, Puerto Rey, Manzanillo, Tierra  Baja , Punta Arena. Además se atendieron  en otras actividades recreo -deportivas a 2.000 niños y niñas. Para un total de beneficiados de 10.153</t>
  </si>
  <si>
    <t xml:space="preserve"> En este  importante evento deportivo se inscribieron 4.450 personas ,las disciplinas que estarán en competencias son las siguientes: Beisbol, Fútbol, Futsalón, Softbol, Atletismo , se contará con la participación de 26 corregimientos (Barú, Bocachica, Caño del oro, Punta Arena, Santa Ana, Ararca, Tierra Bomba, Isla Fuerte, Islote, Arroyo Grande, La Europa, Arroyo de Piedra, Arroyo de Las Canoas, Nayunca, Boquilla, Manzanillo del Mar, Marlinda, tierra Baja, Pontezuela, Punta Canoa, Villa  Gloria , Pasacaballos, Membrillal, Leticia, Recreao, Bajo El Tigre).</t>
  </si>
  <si>
    <t>Se celebro  en este segundo trimestre del año 2018  el  Día  Mundial de la Actividad  Fisica , donde se beneficiaron a 4.000 personas.</t>
  </si>
  <si>
    <t xml:space="preserve">Se encuentra en etapa precontractual  con el objetivo de realizar estos programas en el segundo semestre del año 2018 </t>
  </si>
  <si>
    <t xml:space="preserve">Las vacaciones recreativas  se encuentra en etapa precontractual con el objetivo de realizar estos programas en el segundo semestre del año 2018 </t>
  </si>
  <si>
    <t>Se realizaron jornadas de asesoría y acompañamiento técnico durante el primer semestre, de las cuales se beneficiaron  a  1.240 deportistas  que asisten al Centro de Acondicionamiento Físico.</t>
  </si>
  <si>
    <t xml:space="preserve">% de ejecución a Junio   del  2018  </t>
  </si>
  <si>
    <t xml:space="preserve">% de avance del proyecto a  Junio   del 2018 </t>
  </si>
  <si>
    <t xml:space="preserve">% de avance del proyecto a  Junio  del 2018  </t>
  </si>
  <si>
    <t xml:space="preserve">Se beneficiaran  a  7.341 personas  en los Juegos Superaté -Intercolegiados, de estos son 2.544 inscritos nuevos .   En el evento participarán  152 Instituciones Educativas públicas 71 y 81  Instituciones Educativas privadas  vinculadas a los Juegos. Asi mismo,  dentro de las instituciones encontramos  las siguientes en la zona insular :  I.E. Bocachica, I.E. Caño del Oro, I.E. de Isla Fuerte ,I.E. de Ararca, I.E. de Santa Ana , I.E. de Barú, I.E. de Tierra Bomba. </t>
  </si>
  <si>
    <t xml:space="preserve">Se desarrollaron asesorías y charlas de Hábitos y Estilos de  Vida Saludable en diferentes empresas del Distrito de Cartagena de Indias, que beneficiaron a  17.985 personas, para untotal de 79 actividades en diferentes empresas del Distrito de Cartagena de indias </t>
  </si>
  <si>
    <t>% de ejecución a Junio   del  2018  según planeacion</t>
  </si>
  <si>
    <t>% de avance del programa a  Junio   del 2018 según planeacion</t>
  </si>
  <si>
    <t xml:space="preserve">% de avance de la linea estrategica a  Junio  del 2018  </t>
  </si>
  <si>
    <t xml:space="preserve"> A la fecha,  de enero a junio del año 2018  se han creado  tres  nuevos  núcleos: Isla Fuerte , Huellas Albeto Uribe, Santa María  Adicionalmente, el IDER cuenta con núcleos de EIFD en la zona insular como son:  Bocachica,  Barú, Santa Ana , Ararca, Playa Blanca ,Caño del  Oro .  Se beneficiaron a  4.959  niñas , niños y adolescentes, de esta población 2.310 son nuevos .  Además se desarrollaron  procesos de integración familiAr y social, a través del deporte y el juego, con el fin de que los niños y niñas de la EIFD, fortalezcan su afectividad. </t>
  </si>
  <si>
    <t xml:space="preserve">VALOR A SEPTIEMBRE  30 DE 2018 </t>
  </si>
  <si>
    <t xml:space="preserve">VALOR TOTAL SEPTIEMBRE 30 DE 2018 </t>
  </si>
  <si>
    <t>% de ejecución a Septiembre   del  2018  según planeacion</t>
  </si>
  <si>
    <t>% de avance del programa a  Septiembre    del 2018 según planeacion</t>
  </si>
  <si>
    <r>
      <t xml:space="preserve">Se realizaron 45  visitas técnicas desde Enero a  Junio  del año 2018.  A la fecha, se licitó y adjudicó el contrato de obras de adecuación  del escenario deportivo Northon  Madrid , 21 escenarios deportivos han recibido intervenciones menores, mantenimiento de zonas verdes, el aseo de los mismos y el suministro de los servicios públicos (energía eléctrica y agua), enetre los escenarios en contramos a: </t>
    </r>
    <r>
      <rPr>
        <sz val="16"/>
        <color rgb="FFFF0000"/>
        <rFont val="Calibri"/>
        <family val="2"/>
        <scheme val="minor"/>
      </rPr>
      <t xml:space="preserve"> </t>
    </r>
    <r>
      <rPr>
        <sz val="16"/>
        <rFont val="Calibri"/>
        <family val="2"/>
        <scheme val="minor"/>
      </rPr>
      <t>COLISEO BERNARDO CARABALLO, ESTADIO DE BEISBOL MONO JUDAS, COLISEO CHICO DE HIERRO , ESTADIO DE SOFTBOL DE LOS CARACOLES, ESTADIO DE BEISBOL 11 DE NOVIEMBRE, ESTADIO DE SOFTBOL DE CHIQUINQUIRA, UNIDAD DEPORTIVA EL CAMPESTRE, ESTADIO DE SOFTBOL LOS CERROS, COMPLEJO ACUATICO, CONSORCIO REGIONAL PARQUE DE RAQUETA, ESTADIO DE ATLETISMO, COLISEO DE COMBATE, CANCHA DE FUTBOL ALAMEDA LA VICTORIA, ESTADIO DE FUTBOL SAN FERNANDO, ESTADIO DE SOFTBOL DE LAS GAVIOTAS, POLIDERPORTIVO JUAN C. ARANGO,  ESTADIO DE BEISBOL INFANTIL DANIEL LEMAITRE, ESTADIO JAIME MORÓN, ESTADIO LOS CALAMARES, CANCHA DE SOFTBOL SAN FRANCISCO.</t>
    </r>
  </si>
  <si>
    <t xml:space="preserve">OBSERVACIONES DE ENERO A  SEPTIEMBRE  DEL 2018 </t>
  </si>
  <si>
    <t xml:space="preserve"> A la fecha,  de enero a septiembre  del año 2018  se crearon  tres  nuevos  núcleos: Isla Fuerte , Huellas Albeto Uribe, Villa Hermosa (Nelson Mandela) para un total de 47 núcleos en diferentes barrios y corregimientos del Distrito de Cartagena de Indias .    Adicionalmente, el IDER cuenta con núcleos de EIFD en la zona insular como son:  Bocachica,  Barú, Santa Ana , Ararca, Playa Blanca ,Caño del  Oro .  Se beneficiaron a  4.988  niñas , niños y adolescentes, de esta población 2.339 son nuevos .  Además se desarrollaron  a través de los docentes de la EIFD y el equipo psicosocial actividades con los niños y niñas de la escuela, fuera del contexto donde se realizan las actividades cotidianas, especialmente a los sitios turísticos y monumentos del Distrito de Cartagena esto con el fin de generar una cultura hacia la valoración del patrimonio material e inmaterial de los Cartageneros. </t>
  </si>
  <si>
    <r>
      <t>Dentro de este item  también sumamos las personas beneficiadas en  el  apoyo  a otras actividades recreativas , durante este  primer semestre  del año 2018  participaron 19.624  personas , se realizaron</t>
    </r>
    <r>
      <rPr>
        <sz val="16"/>
        <color rgb="FFFF0000"/>
        <rFont val="Calibri"/>
        <family val="2"/>
        <scheme val="minor"/>
      </rPr>
      <t xml:space="preserve"> </t>
    </r>
    <r>
      <rPr>
        <sz val="16"/>
        <rFont val="Calibri"/>
        <family val="2"/>
        <scheme val="minor"/>
      </rPr>
      <t>88 actividades recreativas aproximadamente .</t>
    </r>
  </si>
  <si>
    <t xml:space="preserve">Se beneficiaran  a  7.339 personas  en los Juegos Superaté -Intercolegiados, de estos son 2.544 inscritos nuevos .   En el evento participarán  152 Instituciones Educativas públicas 71 y 81  Instituciones Educativas privadas  vinculadas a los Juegos. Asi mismo,  dentro de las instituciones encontramos  las siguientes en la zona insular :  I.E. Bocachica, I.E. Caño del Oro, I.E. de Isla Fuerte ,I.E. de Ararca, I.E. de Santa Ana , I.E. de Barú, I.E. de Tierra Bomba. </t>
  </si>
  <si>
    <t xml:space="preserve">Se desarrollaron asesorías y charlas de Hábitos y Estilos de  Vida Saludable en diferentes empresas del Distrito de Cartagena de Indias, que beneficiaron a  23.914 personas, para un total de 128 actividades en diferentes empresas del Distrito de Cartagena de indias </t>
  </si>
  <si>
    <t xml:space="preserve">Se realizaron Actividades Fisicas en los  Centros Penitenciarios y Carcelarios de Ternera, San Diego y Asomenores , en los cuales se atendieron en este primer  semestre a 430  personas  (entre reclusos y reclusas). </t>
  </si>
  <si>
    <t xml:space="preserve">Durante este period , se realizaron Actividades Fisicas en los  Centros Penitenciarios y Carcelarios de Ternera, San Diego y Asomenores , en los cuales se atendieron  un total de 465 personas (entre reclusos y reclusas). </t>
  </si>
  <si>
    <t xml:space="preserve"> El programa "El Caminante Saludable",  mantuvó un  total de 175 beneficiados aproximadamente  desde el mes de enero a  septiembre  de la cursante anualidad. </t>
  </si>
  <si>
    <t>Contamos con  103 puntos de actividad fisica ,  diariamente se benefician a  5.219 personas aproximadamente en subprogramas de Madrugále a la Salud y Noches saludables.</t>
  </si>
  <si>
    <t xml:space="preserve">Se crearon 3 puntos de atención de jóven saludable en los barrios: Manuela Vergara de Curi, La Maria y Bellavista con 324 beneficiarios  de enero a septiembre del año 2018 
 </t>
  </si>
  <si>
    <t>Se realizaron jornadas de asesoría y acompañamiento técnico durante enero a septiembre del año 2018 de las cuales se beneficiaron  a  1.929  deportistas  que asisten al Centro de Acondicionamiento Físico.</t>
  </si>
  <si>
    <t>Se celebro  en este segundo trimestre del año 2018  el  Día  Mundial de la Actividad  Fisica , donde se beneficiaron a 4.000 personas y  durante el periodo de julio a septiembre  se realizo una caminata y actividad fisica en el día internacional de la prevención contra el suicidio en la cual participaron 860 personas, para un total de 4.860 beneficiados aproximadamente.</t>
  </si>
  <si>
    <t xml:space="preserve">Las vacaciones recreativas  se encuentra en etapa precontractual con el objetivo de realizar este programa en el segundo semestre del año 2018 </t>
  </si>
  <si>
    <t>Durante este periodo,  se realizaron 55 vías recreativas, con un total de 10.943 personas  beneficiadas.</t>
  </si>
  <si>
    <t>Se realizaron actividades recreativas  donde se beneficiaron a 200 niños y niñas con discapacidad ,contamos con entrenadores para disciplinas como futbol,boccia, atletismo, natación, baloncesto en sillas de ruedas, voleibol sentado., se han entregado apoyo economico a deportistas con discapacidad auditiva, física, parálisis cerebral. Se apoyaron a 10 deportistas con discapacidad por un valor aproximado de 30.000.000. Durante el mes de julio a septiembre del año 2018  se apoyo el torneo "Sin Limites que beneficio a 150 personas, se dearrollo un evento recreativo en conmemoración de las personas sordas donde participaron 56 niños y niñas de primera infancia, para un total de enero a septiembre de 416 personas.</t>
  </si>
  <si>
    <t>Este momento nos encontramos en espera de una incorpación por parte del distrito para la realización de este evento para poder  llevarlo  a cabo antes que termine el año 2018 .</t>
  </si>
  <si>
    <t xml:space="preserve">Se espera  llevar a cabo este evento en el segundo semestre  del año 2018 y de acuerdo a lo que se establezca con la comunidad de las diferentes localidades.  </t>
  </si>
  <si>
    <t xml:space="preserve">Se espera  llevar a cabo este evento en el  segundo semestre  del año 2018 y de acuerdo a lo que se establezca con la comunidad de las diferentes localidades.  </t>
  </si>
  <si>
    <t xml:space="preserve"> Se atendieron  60  iniciativas presentadas por la comunidad durante los meses de enero a septiembre  del 2018 </t>
  </si>
  <si>
    <t xml:space="preserve">A la fecha, el IDER  el ider se encuentra en la etapa  5 (quinta) de su Plan de intervenciones de la Infraestructura Deportiva , es decir se viene realizando el cálculo de los costos estimados de las instalaciones deportivas, los escenarios deportivos se evaluaron especificando o detallando los montos de los trabajos de obras a realizar, con estas variaciones se realizaron los ajustes a las MGA  de los 9 proyectos  de los escenrios deportivos y su documento técnico. Por lo anterior cinco de ellos se presentaran ante la OCAD distrital para sean financiados por recursos del Sistema General  de Regalias (SGR)  y   los otros con recursos del Distrito y del IDER, asi mismo fueron revisados por el DNP  para ir avanzando en el proceso, nos  encontramos en la segunda revison de forma virtual  de los proyectos que  se presentaran ante la OCAD .            </t>
  </si>
  <si>
    <t xml:space="preserve">Durante este período se llevarón a cabo 11 capacitaciones las cuales fueron: Taller de Simetría Aeróbica, Comando Visual y Verbal, proceso pedagógico, protocolo de clase, Capacitación a los dirigentes, instructores , coordinadores de los Juegos Corregimentales, Comunicación Asertiva y manejo del estado de ánimo en el trabajo, Conceptos de Recreación,  tiempo libre, Ocio  y Juego para Escuelas Recreativas, Fundamentos Lúdicos en la educación y Sembrando Semilla, Capacitación Legislativa  Deportiva , I Congreso Nacional sobre Deporte  Escolar y Estilos de Vida Saludable, cacpitación de Maratón Náutica, Deporte y Recreación  para la construcción de la ciudadanía , Normatividad Deportiva  , se benefiaciaron a 2.020   personas. </t>
  </si>
  <si>
    <t xml:space="preserve">APROPIACIÓN DEFINITIVA   A  SEPTIEMBRE  DEL  2018 </t>
  </si>
  <si>
    <t xml:space="preserve">APROPIACION EJECUTADA A SEPTIEMBRE DEL 2018  </t>
  </si>
  <si>
    <t xml:space="preserve">% DE EJECUCIÓN A  SEPTIEMBRE  DEL 2018  </t>
  </si>
  <si>
    <t xml:space="preserve">SOBRETASA DEPORTIVA, ARRENDAMIENTO ESCENARIOS DEPORTIVOS, S.G.P- PROPOSITO GENERAL -DEPORTES,ICAT(3%), INGRESOS CORRIENTES DE LIBRE DESTINACIÓN,RENDIMIENTOS FINANCIEROS  CRÉDITO INTERNO </t>
  </si>
  <si>
    <t xml:space="preserve">ICAT (3%), CONVENIOS INTERADMINISTRATIVOS, RENDIMIENTOS FINANCIEROS CRÉDITO INTERNO </t>
  </si>
  <si>
    <t>INGRESOS CORRIENTES DE LIBRE DESTINACIÓN, CONVENIOS INTERADMINISTRATIVOS, RECURSOS PROVISIONADOS, SOBRETASA DEPORTIVA, ARRENDAMIENTO ESCENARIOS DEPORTIVOS , S.G.P- PROPOSITO GENERAL -DEPORTES,ICAT(3%), RENDIMIENTOS FINANCIEROS CRÉDITO INTERNO</t>
  </si>
  <si>
    <t>INGRESOS CORRIENTES DE LIBRE DESTINACIÓN, CONVENIOS INTERADMINISTRATIVOS, SOBRETASA DEPORTIVA, IMPUESTO ESPECTACULOS PÚBLICOS, S.G.P- PROPOSITO GENERAL -DEPORTES, RENDIMIENTOS FINANCIEROS CRÉDITO INTERNO</t>
  </si>
  <si>
    <t>EXCENDENTES CONTABLES DE REGALIAS, CONVENIOS INTERADMINISTRATIVOS, SOBRETASA DEPORTIVA, SOBRETASA A LA GASOLINA, S.G.P- PROPOSITO GENERAL -DEPORTES , ICAT (3%), ARRENDAMIENTO ESCENARIOS DEPORTIVOS.</t>
  </si>
  <si>
    <t xml:space="preserve">SOBRETASA DEPORTIVA , RENDIMIENTOS FINANCIEROS CRÉDITO  INTERNO </t>
  </si>
  <si>
    <t>INGRESOS CORRIENTES DE LIBRE DESTINACIÓN , EXCEDENTES CONTABLES DE REGALIAS, RENDIMIENTOS FINANCIEROS CRÉDITO INTERNO,SOBRETASA DEPORTIVA, S.G.P- PROPOSITO GENERAL -DEPORTES , ICAT (3%)</t>
  </si>
  <si>
    <t>INGRESOS CORRIENTES DE LIBRE DESTINACIÓN, SOBRETASA A LA GASOLINA, SOBRETASA DEPORTIVA, S.G.P. -PROPOSITO GENERAL-DEPORTES, ARRENDAMIENTO  ESCENARIOS DEPORTIVOS, ICAT(3%),RENDIMIENTOS FINANCIEROS CRÉDITO INTERNO.</t>
  </si>
  <si>
    <t xml:space="preserve"> SOBRETASA DEPORTIVA, ARRENDAMIENTO ESCENARIOS DEPORTIVOS , ICAT(3%), VENTA DE SERVICIOS, RENDIMIENTOS FINANCIEROS,IMPUESTOS ESPECTACULOS PUBLICOS,SOBRETASA A LA GASOLINA, RENDIMIENTOS FINANCIEROS CRÉDITO INTERNO </t>
  </si>
  <si>
    <t>• Se realizó la planificación y construcción de la programación de la Escuela de Iniciación de Formación Deportiva de los docentes y jefes del IDER.
• Se realizo la capacitación a los Dirigentes, Instructores, Coordinadores de los Juegos Corregimentales. 
• Se realiza el debido acompañamiento de cada unos de los Eventos Deportivos que se han realizado en el Instituto del IDER.
• Se lleva a cabo el control y la existencia de cuantas Escuelas de Iniciación Deportiva se encuentran vigentes y actuales en el Distrito.
• Se investigó en la Secretaria de Educación cuántos niños se encontraban  matriculados en la básica primaria por edades, cuales están en el sector Público y Privado, cuantos están en cada curso, cuántos de estos se retiraron y si estos mismo llevaban a cabo la asignatura de Educación Física.
• Se está llevando el control y seguimiento de cada uno de los Convenios realizados con las Instituciones educativas y  Universidades del Distrito.
• A través  del Observatorio se ha realizado 5 carreras Técnicas en Organización de Eventos Recreo deportivos, Actividad Física, Entrenamiento de Gimnasio y Recreación y actualmente se desarrolla la carrera Tecnóloga en Actividad Física mediante el convenio 002 de Abril 20 del 2015 con el SENA.                                                                                                                                                                                                                     • Se está llevando a cabo la Inspección y  vigilancia de la reglamentación de las Ligas y Clubes  Deportivos para la vigencia y existencia de la mismo.                                                                                                                                                                                                                                             En este segundo trimestre del año 2018 se llevaron a cabo  las siguientes  investigaciones: 1. Estado actual de la Ligas y Clubes del distrito y departamento de Bolívar, 2. Se realizo un estudio estadístico sobre los diferentes programas del IDER , 3.  Se continúa con el estudio estadístico sobre los diferentes programas del IDER.   Durante el periodo se adelantó en un 50% la articulación de la información recolectada para la Politica de la Promoción y el Plan Estratécico Dsitrital de Deporte y Recreación además se dio inicio a los cursos SENA-IDER (Técnico en Eventos Recreo-deportivos y técnologo en Actividad Física.</t>
  </si>
  <si>
    <t>Cada sábado,  se realizan encuentros del Campamento Juvenil del Distrito (con el acompañamiento de Coldeportes) en el barrio Huellas Alberto Uribe Uribe, este programa va dirigido a Jóvenes víctimas del conflicto armado colombiano, así como a desplazados por la violencia. Los beneficiados cuenta con edades que oscilan entre los 13 y 17 años. El programa maneja 5 ejes temáticos especiales para rehabilitación, inclusión y protección de la población víctima, durante este periodo  se han beneficiado a un total de 843 jóvenes,</t>
  </si>
  <si>
    <t xml:space="preserve">VALOR A DICIEMBRE   30 DE 2018 </t>
  </si>
  <si>
    <t xml:space="preserve">VALOR TOTAL DICIEMBRE 31 DE 2018 </t>
  </si>
  <si>
    <t>% de ejecución a Diciembre  del  2018  según planeación</t>
  </si>
  <si>
    <t>% de avance del programa a  Diciembre  del 2018 según planeación</t>
  </si>
  <si>
    <t xml:space="preserve">% de avance de la linea estrategica a  Diciembre  del 2018  </t>
  </si>
  <si>
    <t xml:space="preserve">OBSERVACIONES DE ENERO A  DICIEMBRE  DEL 2018 </t>
  </si>
  <si>
    <t xml:space="preserve"> A la fecha,  de enero a  diciembre del año 2018  se crearon  tres  nuevos  núcleos: Isla Fuerte , Huellas Albeto Uribe, Villa Hermosa (Nelson Mandela) para un total de 47 núcleos en diferentes barrios y corregimientos del Distrito de Cartagena de Indias .    Adicionalmente, el IDER cuenta con núcleos de EIFD en la zona insular como son:  Bocachica,  Barú, Santa Ana , Ararca, Playa Blanca ,Caño del  Oro .  Se beneficiaron a  5.365  niñas , niños y adolescentes, de esta población 2.339 son nuevos .  Además se desarrollaron  a través de los docentes de la EIFD y el equipo psicosocial actividades con los niños y niñas de la escuela, fuera del contexto donde se realizan las actividades cotidianas, especialmente a los sitios turísticos y monumentos del Distrito de Cartagena esto con el fin de generar una cultura hacia la valoración del patrimonio material e inmaterial de los Cartageneros. </t>
  </si>
  <si>
    <t>Se realizaron jornadas de asesoría y acompañamiento técnico durante enero a  Diciembre del año 2018 de las cuales se beneficiaron  a  2.543  deportistas  que asisten al Centro de Acondicionamiento Físico.</t>
  </si>
  <si>
    <t xml:space="preserve">El Festival Internacional de la Cometa  se realizó durante el mes de septiembre  y  se beneficiaron  aproximadamente a 7.400 personas. </t>
  </si>
  <si>
    <t xml:space="preserve">El Festival Internacional de la Cometa  se realizó durante el mes de septiembre  y se  beneficiaron  aproximadamente a 7.400 personas. </t>
  </si>
  <si>
    <t>Dentro de este item  también sumamos las personas beneficiadas en  el  apoyo  a otras actividades recreativas , durante el año 2018  participaron 24.855  personas , se realizaron 98 actividades recreativas aproximadamente .</t>
  </si>
  <si>
    <t xml:space="preserve">Los Torneos de Integración Comunitaria se realizaran en este segundo semestre del año, en los diferentes sectores del distrito y las disciplinas que se llevaran a cabo son las siguientes: Semillero de Beisbol, Semillero de Fútbol, Fútbol, Golito, Ajedrez, Voleibol.   </t>
  </si>
  <si>
    <t>Se llevaron acabo los Torneos de Integración Comunitaria beneficiaron a 600 personas, en los siguientes barrios : El Nazareno, Nelson Mandela, Santa Rita, Bicentenario, Chiquinquirá, Paraíso, Faldas de la popa, San josé de los Campanos, La María, El pozón, Olaya , 20 de Julio, La Florida, San Francisco. Las disicplinas que se llevaron a cabo son: Semillero de  Beisbol, Semillero de futbol, Futbol, Golito, Ajedrez, Voleibol, Baloncesto, Atletismo, Boxeo, Bate y Tapita, Domino, Tenis de Mesa, Futsalón.</t>
  </si>
  <si>
    <t xml:space="preserve">Se realizaron los Juegos  Comunales en donde se benefiaron aproximadamente a 500 personas. </t>
  </si>
  <si>
    <t xml:space="preserve">Se llevaron a cabo eventos para la población Afro , en los cuales se atendieron a una población aproximada de 550  personas. </t>
  </si>
  <si>
    <t xml:space="preserve">Se realizaron los Juegos Indígenas donde participaron y se beneficiaron a 410 personas aproximadamente. </t>
  </si>
  <si>
    <t>Durante el año 2018 , se atendieron a 52 deportistas , los cuales son los siguientes: NEYLA A GONZALEZ, GREGORIA GOMEZ , GABRIEL JOSE BARRETO, ALVARO CARRASQUILLA V., MARIA JOSE PORTO, ELIZABETH ARNEDO ,INGLEBERTO GONZALEZ ,ANGUIE PEREZ,ELVIRA PEREZ,STEPHANIA HURTADO, ADRIANA MEZA, JISLAIDE PACHECO,ROSALBA MORALES DEL AGUILA,WALTER BELEÑO,RAFAEL CERRO ,ALBA TABORDA,ISAMAR BLANCO,GREY DANIELA HERRERA,DORA DE DEULOFUTT TOVAR,MARCO TULIO BLANCO,FEDERICO ANDRE GARCIA, ROBET CORDOBA,JULIAN SUAREZ,PABLO SANCHEZ,ELIAS ECHEVERRYA, JAVER HURTADO,CAMILO MARMOL,NELSON ESALAS,MICHAEL ZABALETA,JEISON ORTIZ,LAZARO CACERES,DELKIN MIRANDA,JOSE JINETE,ANA CAMACHO,LIBIA DE LA ROSA,LUZ LEIDY LOPEZ,YURIKA MARMOL ,ANDRES FELIPE JURADO ,MARIA JOSE ROSADO ,ALVARO CHICA,JORGE SALAS ,SOLIBETH NUÑEZ,BETSY CAICEDO ,SHIRLEY ESCORCIA,YANITZA MENGUAL,YULEIMA GARCIA,MAYRA ESPITALETA,LUZ LEIVIS PEREZ,EDUAR YEPEZ,GERMAN SANTOYA,MARIA ALEJANDRA GUERRERO B.,ANA HERNANDEZ.</t>
  </si>
  <si>
    <t>Se apoyaron 19  inicitivas presentadas por las ligas, clubes y otras organizaciones deportivas durante el mes de Enero hasta el mes de marzo del presente año. El valor total de las iniciativas apoyadas asciende aproximadamente  a  $1.755.878.000</t>
  </si>
  <si>
    <t>Durante este período se llevarón a cabo 13 capacitaciones las cuales fueron: Taller de Simetría Aeróbica, Comando Visual y Verbal, proceso pedagógico, protocolo de clase, Capacitación a los dirigentes, instructores , coordinadores de los Juegos Corregimentales, Comunicación Asertiva y manejo del estado de ánimo en el trabajo, Conceptos de Recreación,  tiempo libre, Ocio  y Juego para Escuelas Recreativas, Fundamentos Lúdicos en la educación y Sembrando Semilla, Capacitación Legislativa  Deportiva , I Congreso Nacional sobre Deporte  Escolar y Estilos de Vida Saludable, cacpitación de Maratón Náutica, Deporte y Recreación  para la construcción de la ciudadanía , Normatividad Deportiva  , Seminario sobre Voluntariado, Seminario y  Foro en deporte sobre la importancia de los Cuerpos de Agua de la Ciudad y el desarrollo de los Deporte Náuticos., se beneficiaron a 2.570 personas.</t>
  </si>
  <si>
    <t>• Se realizó la planificación y construcción de la programación de la Escuela de Iniciación de Formación Deportiva de los docentes y jefes del IDER.
• Se realizo la capacitación a los Dirigentes, Instructores, Coordinadores de los Juegos Corregimentales. 
• Se realiza el debido acompañamiento de cada unos de los Eventos Deportivos que se han realizado en el Instituto del IDER.
• Se lleva a cabo el control y la existencia de cuantas Escuelas de Iniciación Deportiva se encuentran vigentes y actuales en el Distrito.
• Se investigó en la Secretaria de Educación cuántos niños se encontraban  matriculados en la básica primaria por edades, cuales están en el sector Público y Privado, cuantos están en cada curso, cuántos de estos se retiraron y si estos mismo llevaban a cabo la asignatura de Educación Física.
• Se está llevando el control y seguimiento de cada uno de los Convenios realizados con las Instituciones educativas y  Universidades del Distrito.
• A través  del Observatorio se ha realizado 5 carreras Técnicas en Organización de Eventos Recreo deportivos, Actividad Física, Entrenamiento de Gimnasio y Recreación y actualmente se desarrolla la carrera Tecnóloga en Actividad Física mediante el convenio 002 de Abril 20 del 2015 con el SENA.                                                                                                                                                                                                                     • Se está llevando a cabo la Inspección y  vigilancia de la reglamentación de las Ligas y Clubes  Deportivos para la vigencia y existencia de la mismo.                                                                                                                                                                                                                                             En este segundo trimestre del año 2018 se llevaron a cabo  las siguientes  investigaciones: 1. Estado actual de la Ligas y Clubes del distrito y departamento de Bolívar, 2. Se realizo un estudio estadístico sobre los diferentes programas del IDER , 3.  Se continúa con el estudio estadístico sobre los diferentes programas del IDER.   Durante el periodo se adelantó en un 50% la articulación de la información recolectada para la Politica de la Promoción y el Plan Estratécico Dsitrital de Deporte y Recreación además se dio inicio a los cursos SENA-IDER (Técnico en Eventos Recreo-deportivos y técnologo en Actividad Física.•  Se presento a la Dirección del IDER, el Proyecto de Centro de Pensamiento del Observatorio Distrital del Deporte de Cartagena de Indias. Que es un organismo derivado de este Observatorio,  constituido en un espacio para la reflexión sobre problemas estratégicos del Deporte, la Recreación y Actividad Física; convocando expertos en las áreas del sector en mención,  para construir insumos de conocimiento, orientados a la formulación y ejecución de las políticas públicas a nivel local, regional o global e influir sobre el gobierno y otros organismos a nivel Distrital, Departamental o Nacional, que participan en la toma de decisiones sobre políticas y asuntos públicos del sector.</t>
  </si>
  <si>
    <t xml:space="preserve"> Se atendieron  60   iniciativas presentadas por la comunidad durante los meses de enero a diciembre del 2018 </t>
  </si>
  <si>
    <t>Se beneficiaron a  4.896 personas  en los Juegos Superaté -Intercolegiados. En el evento participarán  133 Instituciones Educativas públicas 62 y 71  Instituciones Educativas privadas  vinculadas a los Juegos. Asi mismo,  dentro de las instituciones encontramos  las siguientes en la zona insular :  I.E. Bocachica, I.E. Caño del Oro, I.E. de Isla Fuerte ,I.E. de Ararca, I.E. de Santa Ana , I.E. de Barú, I.E. de Tierra Bomba.</t>
  </si>
  <si>
    <t xml:space="preserve">Se beneficiaran  a  7.339 personas  en los Juegos Superaté -Intercolegiados, de estos son 2.544 inscritos nuevos .   En el evento participarán  155 Instituciones Educativas públicas 72 y 83  Instituciones Educativas privadas  vinculadas a los Juegos. Asi mismo,  dentro de las instituciones encontramos  las siguientes en la zona insular :  I.E. Bocachica, I.E. Caño del Oro, I.E. de Isla Fuerte ,I.E. de Ararca, I.E. de Santa Ana , I.E. de Barú, I.E. de Tierra Bomba. </t>
  </si>
  <si>
    <t>Durante  el periodo de enero a diciembre  atendimos a una población de 416 personas en condición de discapacidad  en diversas actividades, pero en este último trimeste del año 2018 realizamos los juegos de la Inclusión Social y juegos Distritales Todos y Todas a Jugar se beneficiaron a 380 personas, para un total de 796 benefiados aproximadamente .  Durante el año 2018 fueron apoyados 10 deportistas en condición de discapacidad.</t>
  </si>
  <si>
    <r>
      <t>Durante  los meses de enero a diciembre  se llevarón a cabo 15 eventos : Torneo Nacional Centroamericano y del Caribe de Balónmano Playa, Torneo de Beisbol, -Sembrando Semillas,Campeonato Pre-Junior Futuras Estrellas de la Pelota Caliente, Nacional de Surf I Velada, Juegos deportivos Isla Barú, Copa Virgen de la Candelaria-Beisbol, Cuadragular de Futbol por Cartagena , Caniba Rugby, Juntos por la Niñez Cartagenera II Carrera 5K -10K, Copa  Nacional de Desarrollo de Baloncesto, Velada de Boxeo Internacional 25 años IDER, Campeonato Nacional de Beisbol Infantil,  II Velada  de boxeo Internacional en la Plazoleta del Reloj Público , Festival Deportivo  de la Playa, Beach Sport Fest</t>
    </r>
    <r>
      <rPr>
        <sz val="16"/>
        <color rgb="FFFF0000"/>
        <rFont val="Calibri"/>
        <family val="2"/>
        <scheme val="minor"/>
      </rPr>
      <t xml:space="preserve"> </t>
    </r>
  </si>
  <si>
    <t xml:space="preserve">Se realizaron varios encuentros deportivos  en las diferentes localidades que beneficiaron aproximandamente  400 Jóvenes en Riesgo </t>
  </si>
  <si>
    <t>Para  el año 2018 , terminamos con  107 puntos de actividad fisica  entre los cuales tenemos  8 de jovenes saludables, 2 en Centros Penitenciarios y Carcelarios, y 6 de Empresas Saludables . Diariamente se benefician a  5.219 personas aproximadamente en subprogramas de Madrugále a la Salud y Noches saludables.</t>
  </si>
  <si>
    <t>Cada sábado,  se realizan encuentros del Campamento Juvenil del Distrito (con el acompañamiento de Coldeportes) en el barrio Huellas Alberto Uribe Uribe, este programa va dirigido a Jóvenes víctimas del conflicto armado colombiano, así como a desplazados por la violencia. Los beneficiados cuenta con edades que oscilan entre los 13 y 17 años. El programa maneja 5 ejes temáticos especiales para rehabilitación, inclusión y protección de la población víctima además se llevaron otras actividades durante este año   se  beneficiaron  a un total de 843 jóvenes.</t>
  </si>
  <si>
    <t xml:space="preserve">Durante este año , se realizaron Actividades Fisicas en los  Centros Penitenciarios y Carcelarios de Ternera, San Diego y Asomenores , en los cuales se atendieron  un total de 465 personas (entre reclusos y reclusas). </t>
  </si>
  <si>
    <t>Se desarrollaron asesorías y charlas de Hábitos y Estilos de  Vida Saludable en diferentes empresas del Distrito de Cartagena de Indias, que beneficiaron a  36.211  personas, para un total de 128 actividades en diferentes empresas del Distrito de Cartagena de Indias.</t>
  </si>
  <si>
    <t xml:space="preserve"> El programa "El Caminante Saludable",  mantuvó un  total de 175 beneficiados aproximadamente  desde el mes de enero a  diciembre  de la cursante anualidad. </t>
  </si>
  <si>
    <t>Las Vacaciones Recreativas ,  no se pudieron realizar para la fecha prevista , debido a los problemas de interinidad del distrito de Cartagena de Indias del año 2018 .</t>
  </si>
  <si>
    <t>Durante este año,  se realizaron 72 vías recreativas, con un total de 14.945 personas  beneficiadas.</t>
  </si>
  <si>
    <t>Se  inaguró en diciembre del año 2018 las obras de las tres canchas deportivas en el barrio La Candelaria.</t>
  </si>
  <si>
    <t xml:space="preserve">Las obras del  barrio La Candelaria  se encuentran suspendida, se espera para este segundo semestre realizar algunas nuevas obras.  </t>
  </si>
  <si>
    <t>No se realizo ninguna tipo de actividad con esta población en la fecha  estipulada, debido  a los problemas de interinidad del distrito de Cartagena  de Indias .</t>
  </si>
  <si>
    <t>Se atendieron a 50 mujeres sobrivivnetes de Cáncer en actividad fisica  desde el mes de septiembre hasta diciembre. Del año 2018 .</t>
  </si>
  <si>
    <t xml:space="preserve"> En este  importante evento deportivo participarón 4.450 personas ,las disciplinas que estarán en competencias son las siguientes: Beisbol, Fútbol, Futsalón, Softbol, Atletismo , canotaje, microfutbol, se contará con la participación de 26 corregimientos (Barú, Bocachica, Caño del oro, Punta Arena, Santa Ana, Ararca, Tierra Bomba, Isla Fuerte, Islote, Arroyo Grande, La Europa, Arroyo de Piedra, Arroyo de Las Canoas, Nayunca, Boquilla, Manzanillo del Mar, Marlinda, tierra Baja, Pontezuela, Punta Canoa, Villa  Gloria , Pasacaballos, Membrillal, Leticia, Recreo, Bajo El Tigre).</t>
  </si>
  <si>
    <t xml:space="preserve">Se atenieron a 5  Viejas Glorias del Deporte en este primer trimestre como: Jóse Domingo  Molinares (Fútbol) , Daniel  Mercado  (Beisbol), Rafael  Zuñiga (Boxeo) , Mercedes  Belford (Softbol) , Carmos Mejía Velencia (Boxeo) y se atendieron a 3 Futuros Idolos(estrellas)  del deporte (PAFID) como fueron: Camila Torres Puente (Ajedrez), Juan Manuel López (Baloncesto), María José Porto (Patinaje), para un total de 8 deportistas atendidos. </t>
  </si>
  <si>
    <t>Se apoyaron 53 inicitivas presentadas por las ligas, clubes y otras organizaciones deportivas durante el mes de Enero hasta el mes de diciembre del presente año. El valor total de las iniciativas apoyadas asciende aproximadamente  a  $5.034.946.800</t>
  </si>
  <si>
    <t xml:space="preserve">En este último  trimestre del año 2018 se logro adelantar mucho en cuanto a nuestro Plan de Intervenciones, podriamos decir que nos encontramos en la etapa  10 , se presentaron ante  la  OCAD Distrital  tres proyectos de escenarios deportivos como. Pista Atlética Complejo de Raquetas, Coliseo de Combate, los cuales fueron viabilizados para ser financiados por recursos del Sistema General  de Regalías (SGR), el Complejo Acuático y el Estadio de Fútbol Jaime Morón también se representará ante la OCAD Distrital en el año 2019  y  hasta el  momento los demás escenarios deportivos serán financiados con recursos propios de la Alcaldia Mayor de Cartagena de Indias  y del IDER.
</t>
  </si>
  <si>
    <t xml:space="preserve">APROPIACIÓN DEFINITIVA   A  DICIEMBRE  DEL  2018 </t>
  </si>
  <si>
    <t xml:space="preserve">APROPIACION EJECUTADA A DICIEMBRE DEL 2018  </t>
  </si>
  <si>
    <t xml:space="preserve">% DE EJECUCIÓN A  DICIEMBRE  DEL 2018  </t>
  </si>
  <si>
    <t xml:space="preserve">Durante este periodo , se  mantuvieron    a través del programa de Escuelas Recreativas con  niños y niñas de primera infancia en los corregimientos del Distrito :Bayunca, Tierra Bomba, Boquilla, Pasacaballo, Punta Canoa, Puerto Rey, Manzanillo, Tierra  Baja , Punta Arena  y  en otras actividades recreativas  a 2. 315   niños y niñas aproximadamente. </t>
  </si>
  <si>
    <t xml:space="preserve">Durante este último semestre del año 2018 , se  mantuvieron    a través del programa de Escuelas Recreativas con  niños y niñas de primera infancia en los corregimientos del Distrito :Bayunca, Tierra Bomba, Boquilla, Pasacaballo, Punta Canoa, Puerto Rey, Manzanillo, Tierra  Baja , Punta Arena  y  en otras actividades recreativas  a 2. 315   niños y niñas aproximadamente. </t>
  </si>
  <si>
    <t xml:space="preserve">Se crearon 3 puntos de atención de jóven saludable en los barrios: Manuela Vergara de Curi, La Maria y Bellavista con 324 beneficiarios  de enero a  diciembre  del año 2018.
 </t>
  </si>
  <si>
    <t xml:space="preserve"> Se celebro  en este segundo trimestre del año 2018,   el  Día  Mundial de la Actividad  Fisica , donde se beneficiaron a 4.000 personas y  durante el período de julio a septiembre  se realizo una caminata y actividad fisica en el día internacional de la prevención contra el suicidio en la cual participaron 860 personas, para un total de 4.860 beneficiados aproximadamente. Asi como también  para este final de año  se llevaron a cabo eventos como: 10K Correcaminos / VI Festival de Disfraces - IDER / Caminata Salud Mental / día Mundial de la Diabetes / Caminata Marea Rosa / Clausura Redes Comunitaria Salud Mental, Superclase S.C. Los Ejecutivos Lucha contra el Cancer de Mama, Campaña Piensa + Salud Mental, para un total  de  18.320 personas benefeciadas aproximadamente en el año 2018. </t>
  </si>
  <si>
    <t>Cartagena es de los Niños y  Cartagena es de Todos, se realizaron en el mes de noviembre de la cursante anualidad  atendiendo a una población de 720 personas aproximadamente.</t>
  </si>
  <si>
    <t xml:space="preserve">Durante  los meses de enero a septiembre se llevarón a cabo 15 eventos : Torneo Nacional Centroamericano y del Caribe de Balónmano Playa, Torneo de Beisbol, -Sembrando Semillas,Campeonato Pre-Junior Futuras Estrellas de la Pelota Caliente, Nacional de Surf I Velada, Juegos deportivos Isla Barú, Copa Virgen de la Candelaria-Beisbol, Cuadragular de Futbol por Cartagena , Caniba Rugby, Juntos por la Niñez Cartagenera II Carrera 5K -10K, Copa  Nacional de Desarrollo de Baloncesto, Velada de Boxeo Internacional 25 años IDER, Campeonato Nacional de Beisbol Infantil,  II Velada  de boxeo Internacional en la Plazoleta del Reloj Público , Festival Deportivo  de la Playa, Beach Sport Fest </t>
  </si>
  <si>
    <r>
      <t xml:space="preserve">Se realizaron 85  visitas técnicas desde Enero a  Septiembre  del año 2018.  Sean realizados intervenciones menores, mantenimiento de zonas verdes, el aseo de los mismos y el suministro de los servicios públicos (energía eléctrica y agua) a 21 escenarios deportivos, entre estos tenemos a: </t>
    </r>
    <r>
      <rPr>
        <sz val="16"/>
        <color rgb="FFFF0000"/>
        <rFont val="Calibri"/>
        <family val="2"/>
        <scheme val="minor"/>
      </rPr>
      <t xml:space="preserve"> </t>
    </r>
    <r>
      <rPr>
        <sz val="16"/>
        <rFont val="Calibri"/>
        <family val="2"/>
        <scheme val="minor"/>
      </rPr>
      <t xml:space="preserve">COLISEO BERNARDO CARABALLO, ESTADIO DE BEISBOL MONO JUDAS, COLISEO CHICO DE HIERRO , ESTADIO DE SOFTBOL DE LOS CARACOLES, ESTADIO DE BEISBOL 11 DE NOVIEMBRE, ESTADIO DE SOFTBOL DE CHIQUINQUIRA, UNIDAD DEPORTIVA EL CAMPESTRE, ESTADIO DE SOFTBOL LOS CERROS, COMPLEJO ACUATICO, CONSORCIO REGIONAL PARQUE DE RAQUETA, ESTADIO DE ATLETISMO, COLISEO DE COMBATE, CANCHA DE FUTBOL ALAMEDA LA VICTORIA, ESTADIO DE FUTBOL SAN FERNANDO, ESTADIO DE SOFTBOL DE LAS GAVIOTAS, POLIDERPORTIVO JUAN C. ARANGO,  ESTADIO DE BEISBOL INFANTIL DANIEL LEMAITRE,  ESTADIO LOS CALAMARES, CANCHA DE SOFTBOL SAN FRANCISCO, ESTADIO DE FUTBOL JAIME MORÓN LEÓN , COLISEO NORTHON MADRID. </t>
    </r>
  </si>
  <si>
    <r>
      <t xml:space="preserve">Se realizaron 90  visitas técnicas desde Enero a  Diciembre   del año 2018.  Sean realizados intervenciones menores, mantenimiento de zonas verdes, el aseo de los mismos y el suministro de los servicios públicos (energía eléctrica y agua) a 21 escenarios deportivos, entre estos tenemos a: </t>
    </r>
    <r>
      <rPr>
        <sz val="16"/>
        <color rgb="FFFF0000"/>
        <rFont val="Calibri"/>
        <family val="2"/>
        <scheme val="minor"/>
      </rPr>
      <t xml:space="preserve"> </t>
    </r>
    <r>
      <rPr>
        <sz val="16"/>
        <rFont val="Calibri"/>
        <family val="2"/>
        <scheme val="minor"/>
      </rPr>
      <t xml:space="preserve">COLISEO BERNARDO CARABALLO, ESTADIO DE BEISBOL MONO JUDAS, COLISEO CHICO DE HIERRO , ESTADIO DE SOFTBOL DE LOS CARACOLES, ESTADIO DE BEISBOL 11 DE NOVIEMBRE, ESTADIO DE SOFTBOL DE CHIQUINQUIRA, UNIDAD DEPORTIVA EL CAMPESTRE, ESTADIO DE SOFTBOL LOS CERROS, COMPLEJO ACUATICO, CONSORCIO REGIONAL PARQUE DE RAQUETA, ESTADIO DE ATLETISMO, COLISEO DE COMBATE, CANCHA DE FUTBOL ALAMEDA LA VICTORIA, ESTADIO DE FUTBOL SAN FERNANDO, ESTADIO DE SOFTBOL DE LAS GAVIOTAS, POLIDERPORTIVO JUAN C. ARANGO,  ESTADIO DE BEISBOL INFANTIL DANIEL LEMAITRE, ESTADIO LOS CALAMARES, CANCHA DE SOFTBOL SAN FRANCISCO, ESTADIO DE FUTBOL JAIME MORÓN LEÓN , COLISEO NORTHON MADRID. </t>
    </r>
  </si>
  <si>
    <t>Se apoyaron 12  inicitivas presentadas por las ligas, clubes y otras organizaciones deportivas durante el mes de Enero hasta el mes de junio del presente año. El valor total de las iniciativas apoyadas asciende a $1.045.818 .000</t>
  </si>
  <si>
    <t>Se  realizaron eventos recreo-deportivos dentro los centro penitenciarios y carcelarios los cuales benefiaron  a una población de 460 personas ,  pero además se realizaron los  Juegos carcelarios, para un   total de 730 personas aproximadamente.</t>
  </si>
  <si>
    <t xml:space="preserve">Dentro de este programa  se atendieron 430  personas en los centros penitencias y carcelarios del distrito de Cartagena de Indias a través de actividades deportivas </t>
  </si>
  <si>
    <t xml:space="preserve">Dentro de este programa  se atendieron 460  personas en los centros penitencias y carcelarios del distrito de Cartagena de Indias a través de actividades deportivas de enero a septiembre del 2018 </t>
  </si>
  <si>
    <t xml:space="preserve">APROPIACIÓN DEFINITIVA   A  DICIEMBRE  DEL  2018 SEGÚN PREDIS </t>
  </si>
  <si>
    <t>% DE EJECUCIÓN A  DICIEMBRE  DEL 2018  SEGÚN PLANEACION</t>
  </si>
  <si>
    <t>APROPIACION EJECUTADA A DICIEMBRE DEL 2018  SEGÚN IDER</t>
  </si>
  <si>
    <t>% de ejecución a Diciembre 30  del  2018  según planeación</t>
  </si>
  <si>
    <t xml:space="preserve">% de avance de la linea estrategica a  Diciembre 30  del 2018  </t>
  </si>
  <si>
    <t xml:space="preserve"> Ejecución de Enero a  Diciembre 30  del  2018  </t>
  </si>
  <si>
    <t xml:space="preserve">% de avance de la linea estrategica a  Septiembre  del 2018  </t>
  </si>
  <si>
    <t>% de avance del programa de Enero a  Diciembre  del 2018 según planeación</t>
  </si>
  <si>
    <t xml:space="preserve">% de avance de la linea estrategica de Enero a  Diciembre  del 2018  </t>
  </si>
  <si>
    <r>
      <t xml:space="preserve"> En este  importante evento deportivo se inscribieron 4.450 personas ,las disciplinas que estarán en competencias son las siguientes: Beisbol, Fútbol, Futsalón, Softbol, Atletismo , se contará con la participación de 26 corregimientos (Barú, Bocachica, Caño del oro, Punta Arena, Santa Ana, Ararca, Tierra Bomba, Isla Fuerte, Islote, Arroyo Grande, La Europa, Arroyo de Piedra, Arroyo de Las Canoas, Nayunca, Boquilla, Manzanillo del Mar, Marlinda, tierra Baja, Pontezuela, Punta Canoa, Villa  Gloria , Pasacaballos, Membrillal, Leticia, Recreao, Bajo El Tigre)</t>
    </r>
    <r>
      <rPr>
        <sz val="16"/>
        <color rgb="FFFF0000"/>
        <rFont val="Calibri"/>
        <family val="2"/>
        <scheme val="minor"/>
      </rPr>
      <t>.</t>
    </r>
  </si>
  <si>
    <t xml:space="preserve">% de avance del programa de Enero a  Diciembre  del 2018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</si>
</sst>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quot;$&quot;\ #,##0_);[Red]\(&quot;$&quot;\ #,##0\)"/>
    <numFmt numFmtId="167" formatCode="_(* #,##0_);_(* \(#,##0\);_(* &quot;-&quot;_);_(@_)"/>
    <numFmt numFmtId="168" formatCode="_(* #,##0_);_(* \(#,##0\);_(* &quot;-&quot;??_);_(@_)"/>
    <numFmt numFmtId="169" formatCode="[$-F400]h:mm:ss\ AM/PM"/>
    <numFmt numFmtId="170" formatCode="_(&quot;$&quot;\ * #,##0_);_(&quot;$&quot;\ * \(#,##0\);_(&quot;$&quot;\ * &quot;-&quot;??_);_(@_)"/>
    <numFmt numFmtId="171" formatCode="#,##0_ ;\-#,##0\ "/>
    <numFmt numFmtId="172" formatCode="_-&quot;$&quot;\ * #,##0_-;\-&quot;$&quot;\ * #,##0_-;_-&quot;$&quot;\ * &quot;-&quot;??_-;_-@_-"/>
    <numFmt numFmtId="173" formatCode="0.0%"/>
    <numFmt numFmtId="174" formatCode="0.000%"/>
  </numFmts>
  <fonts count="22" x14ac:knownFonts="1">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name val="Calibri"/>
      <family val="2"/>
      <scheme val="minor"/>
    </font>
    <font>
      <sz val="18"/>
      <color theme="1"/>
      <name val="Calibri"/>
      <family val="2"/>
      <scheme val="minor"/>
    </font>
    <font>
      <sz val="18"/>
      <name val="Calibri"/>
      <family val="2"/>
      <scheme val="minor"/>
    </font>
    <font>
      <sz val="28"/>
      <color theme="1"/>
      <name val="Calibri"/>
      <family val="2"/>
      <scheme val="minor"/>
    </font>
    <font>
      <sz val="24"/>
      <color theme="1"/>
      <name val="Calibri"/>
      <family val="2"/>
      <scheme val="minor"/>
    </font>
    <font>
      <sz val="16"/>
      <color rgb="FFFF0000"/>
      <name val="Calibri"/>
      <family val="2"/>
      <scheme val="minor"/>
    </font>
    <font>
      <sz val="14"/>
      <color theme="1"/>
      <name val="Calibri"/>
      <family val="2"/>
      <scheme val="minor"/>
    </font>
    <font>
      <b/>
      <sz val="11"/>
      <color theme="1"/>
      <name val="Calibri"/>
      <family val="2"/>
      <scheme val="minor"/>
    </font>
    <font>
      <sz val="16"/>
      <color theme="1"/>
      <name val="Calibri"/>
      <family val="2"/>
    </font>
    <font>
      <b/>
      <sz val="16"/>
      <name val="Calibri"/>
      <family val="2"/>
      <scheme val="minor"/>
    </font>
    <font>
      <sz val="11"/>
      <name val="Calibri"/>
      <family val="2"/>
      <scheme val="minor"/>
    </font>
    <font>
      <sz val="10"/>
      <name val="Calibri"/>
      <family val="2"/>
      <scheme val="minor"/>
    </font>
    <font>
      <sz val="12"/>
      <color indexed="8"/>
      <name val="Arial"/>
      <family val="2"/>
    </font>
    <font>
      <sz val="12"/>
      <color theme="1"/>
      <name val="Arial"/>
      <family val="2"/>
    </font>
    <font>
      <sz val="16"/>
      <color indexed="8"/>
      <name val="Calibri"/>
      <family val="2"/>
      <scheme val="minor"/>
    </font>
    <font>
      <sz val="36"/>
      <color theme="1"/>
      <name val="Calibri"/>
      <family val="2"/>
      <scheme val="minor"/>
    </font>
    <font>
      <b/>
      <sz val="28"/>
      <color theme="1"/>
      <name val="Calibri"/>
      <family val="2"/>
      <scheme val="minor"/>
    </font>
    <font>
      <b/>
      <sz val="16"/>
      <color theme="1"/>
      <name val="Arial"/>
      <family val="2"/>
    </font>
  </fonts>
  <fills count="17">
    <fill>
      <patternFill patternType="none"/>
    </fill>
    <fill>
      <patternFill patternType="gray125"/>
    </fill>
    <fill>
      <patternFill patternType="solid">
        <fgColor theme="0" tint="-0.249977111117893"/>
        <bgColor indexed="64"/>
      </patternFill>
    </fill>
    <fill>
      <patternFill patternType="solid">
        <fgColor rgb="FF00B050"/>
        <bgColor indexed="64"/>
      </patternFill>
    </fill>
    <fill>
      <patternFill patternType="solid">
        <fgColor rgb="FFFFFF00"/>
        <bgColor indexed="64"/>
      </patternFill>
    </fill>
    <fill>
      <patternFill patternType="solid">
        <fgColor theme="2" tint="-0.249977111117893"/>
        <bgColor indexed="64"/>
      </patternFill>
    </fill>
    <fill>
      <patternFill patternType="solid">
        <fgColor rgb="FF0070C0"/>
        <bgColor indexed="64"/>
      </patternFill>
    </fill>
    <fill>
      <patternFill patternType="solid">
        <fgColor rgb="FFFFC000"/>
        <bgColor indexed="64"/>
      </patternFill>
    </fill>
    <fill>
      <patternFill patternType="solid">
        <fgColor theme="0"/>
        <bgColor indexed="64"/>
      </patternFill>
    </fill>
    <fill>
      <patternFill patternType="solid">
        <fgColor rgb="FFFF0000"/>
        <bgColor indexed="64"/>
      </patternFill>
    </fill>
    <fill>
      <patternFill patternType="solid">
        <fgColor theme="5" tint="0.59999389629810485"/>
        <bgColor indexed="64"/>
      </patternFill>
    </fill>
    <fill>
      <patternFill patternType="solid">
        <fgColor theme="5" tint="0.59999389629810485"/>
        <bgColor indexed="9"/>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7"/>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auto="1"/>
      </left>
      <right style="double">
        <color auto="1"/>
      </right>
      <top style="thin">
        <color auto="1"/>
      </top>
      <bottom style="thin">
        <color auto="1"/>
      </bottom>
      <diagonal/>
    </border>
  </borders>
  <cellStyleXfs count="6">
    <xf numFmtId="0" fontId="0" fillId="0" borderId="0"/>
    <xf numFmtId="43"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164" fontId="1" fillId="0" borderId="0" applyFont="0" applyFill="0" applyBorder="0" applyAlignment="0" applyProtection="0"/>
  </cellStyleXfs>
  <cellXfs count="703">
    <xf numFmtId="0" fontId="0" fillId="0" borderId="0" xfId="0"/>
    <xf numFmtId="0" fontId="2" fillId="0" borderId="0" xfId="0" applyFont="1"/>
    <xf numFmtId="0" fontId="2" fillId="0" borderId="0" xfId="0" applyFont="1" applyFill="1"/>
    <xf numFmtId="0" fontId="2" fillId="0" borderId="0" xfId="0" applyFont="1" applyAlignment="1">
      <alignment horizontal="center" vertical="center"/>
    </xf>
    <xf numFmtId="0" fontId="2" fillId="5"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4"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168" fontId="2" fillId="8" borderId="9" xfId="1" applyNumberFormat="1" applyFont="1" applyFill="1" applyBorder="1" applyAlignment="1">
      <alignment horizontal="center" vertical="center" wrapText="1"/>
    </xf>
    <xf numFmtId="168" fontId="2" fillId="4" borderId="9" xfId="1" applyNumberFormat="1" applyFont="1" applyFill="1" applyBorder="1" applyAlignment="1">
      <alignment horizontal="center" vertical="center"/>
    </xf>
    <xf numFmtId="0" fontId="2" fillId="0" borderId="9" xfId="0" applyFont="1" applyFill="1" applyBorder="1" applyAlignment="1">
      <alignment horizontal="center" vertical="center" wrapText="1"/>
    </xf>
    <xf numFmtId="0" fontId="2" fillId="8" borderId="2" xfId="0" applyFont="1" applyFill="1" applyBorder="1" applyAlignment="1">
      <alignment horizontal="center" vertical="center" wrapText="1"/>
    </xf>
    <xf numFmtId="3" fontId="2" fillId="8"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xf>
    <xf numFmtId="3" fontId="2" fillId="8" borderId="9" xfId="0" applyNumberFormat="1" applyFont="1" applyFill="1" applyBorder="1" applyAlignment="1">
      <alignment horizontal="center" vertical="center" wrapText="1"/>
    </xf>
    <xf numFmtId="3" fontId="2" fillId="4" borderId="9" xfId="0" applyNumberFormat="1" applyFont="1" applyFill="1" applyBorder="1" applyAlignment="1">
      <alignment horizontal="center" vertical="center"/>
    </xf>
    <xf numFmtId="0" fontId="2" fillId="8"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4" fillId="8"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Fill="1"/>
    <xf numFmtId="0" fontId="0" fillId="9" borderId="0" xfId="0" applyFill="1"/>
    <xf numFmtId="0" fontId="4" fillId="0" borderId="9" xfId="0" applyFont="1" applyFill="1" applyBorder="1" applyAlignment="1">
      <alignment horizontal="center" vertical="center" wrapText="1"/>
    </xf>
    <xf numFmtId="0" fontId="2" fillId="4" borderId="9" xfId="0" applyFont="1" applyFill="1" applyBorder="1" applyAlignment="1">
      <alignment horizontal="center" vertical="center"/>
    </xf>
    <xf numFmtId="0" fontId="2" fillId="0" borderId="0" xfId="0" applyFont="1" applyFill="1" applyBorder="1"/>
    <xf numFmtId="0" fontId="2" fillId="3" borderId="0" xfId="0" applyFont="1" applyFill="1"/>
    <xf numFmtId="0" fontId="2" fillId="4" borderId="0" xfId="0" applyFont="1" applyFill="1"/>
    <xf numFmtId="0" fontId="2" fillId="8" borderId="9"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4" borderId="9" xfId="0" applyFont="1" applyFill="1" applyBorder="1" applyAlignment="1">
      <alignment horizontal="center" vertical="center"/>
    </xf>
    <xf numFmtId="0" fontId="3" fillId="7" borderId="1" xfId="0" applyFont="1" applyFill="1" applyBorder="1" applyAlignment="1">
      <alignment horizontal="center" vertical="center" wrapText="1"/>
    </xf>
    <xf numFmtId="0" fontId="2" fillId="0" borderId="0" xfId="0" applyFont="1" applyFill="1" applyAlignment="1">
      <alignment horizontal="center" vertical="center"/>
    </xf>
    <xf numFmtId="3" fontId="4" fillId="0" borderId="9"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4" borderId="0" xfId="0" applyFill="1"/>
    <xf numFmtId="0" fontId="4" fillId="0" borderId="9"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10" borderId="0"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0" fillId="8" borderId="0" xfId="0" applyFill="1"/>
    <xf numFmtId="0" fontId="3" fillId="2" borderId="9"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 fillId="9" borderId="0" xfId="0" applyFont="1" applyFill="1"/>
    <xf numFmtId="0" fontId="3" fillId="9" borderId="1" xfId="0" applyFont="1" applyFill="1" applyBorder="1" applyAlignment="1">
      <alignment horizontal="center" vertical="center"/>
    </xf>
    <xf numFmtId="0" fontId="2" fillId="4" borderId="0" xfId="0" applyFont="1" applyFill="1" applyAlignment="1">
      <alignment horizontal="center" vertical="center"/>
    </xf>
    <xf numFmtId="0" fontId="2" fillId="4" borderId="0" xfId="0" applyFont="1" applyFill="1" applyBorder="1" applyAlignment="1">
      <alignment horizontal="center"/>
    </xf>
    <xf numFmtId="0" fontId="3" fillId="4" borderId="1" xfId="0" applyFont="1" applyFill="1" applyBorder="1" applyAlignment="1">
      <alignment horizontal="center" vertical="center"/>
    </xf>
    <xf numFmtId="0" fontId="7" fillId="4" borderId="0" xfId="0" applyFont="1" applyFill="1" applyAlignment="1">
      <alignment horizontal="center" vertical="center"/>
    </xf>
    <xf numFmtId="9" fontId="2" fillId="4" borderId="0" xfId="0" applyNumberFormat="1" applyFont="1" applyFill="1" applyAlignment="1">
      <alignment horizontal="center" vertical="center"/>
    </xf>
    <xf numFmtId="3" fontId="4" fillId="7" borderId="1" xfId="0" applyNumberFormat="1" applyFont="1" applyFill="1" applyBorder="1" applyAlignment="1">
      <alignment horizontal="center" vertical="center"/>
    </xf>
    <xf numFmtId="3" fontId="4" fillId="7" borderId="1" xfId="1" applyNumberFormat="1" applyFont="1" applyFill="1" applyBorder="1" applyAlignment="1">
      <alignment horizontal="center" vertical="center"/>
    </xf>
    <xf numFmtId="0" fontId="2" fillId="7" borderId="9" xfId="0" applyFont="1" applyFill="1" applyBorder="1" applyAlignment="1">
      <alignment horizontal="center" vertical="center" wrapText="1"/>
    </xf>
    <xf numFmtId="0" fontId="4" fillId="7" borderId="1" xfId="3" applyNumberFormat="1" applyFont="1" applyFill="1" applyBorder="1" applyAlignment="1">
      <alignment horizontal="center" vertical="center"/>
    </xf>
    <xf numFmtId="0" fontId="4" fillId="7" borderId="9" xfId="4" applyNumberFormat="1" applyFont="1" applyFill="1" applyBorder="1" applyAlignment="1">
      <alignment horizontal="center" vertical="center"/>
    </xf>
    <xf numFmtId="9" fontId="2" fillId="0" borderId="0" xfId="0" applyNumberFormat="1" applyFont="1" applyFill="1" applyAlignment="1">
      <alignment horizontal="center" vertical="center"/>
    </xf>
    <xf numFmtId="0" fontId="5" fillId="0" borderId="0" xfId="0" applyFont="1" applyFill="1"/>
    <xf numFmtId="9" fontId="0" fillId="0" borderId="0" xfId="0" applyNumberFormat="1" applyFill="1"/>
    <xf numFmtId="9" fontId="2" fillId="0" borderId="0" xfId="3" applyFont="1" applyFill="1" applyAlignment="1">
      <alignment horizontal="center" vertical="center"/>
    </xf>
    <xf numFmtId="0" fontId="2" fillId="0" borderId="0" xfId="0" applyFont="1" applyFill="1" applyAlignment="1">
      <alignment horizontal="center" vertical="center" wrapText="1"/>
    </xf>
    <xf numFmtId="170" fontId="0" fillId="0" borderId="0" xfId="0" applyNumberFormat="1" applyFill="1"/>
    <xf numFmtId="0" fontId="2" fillId="7" borderId="0" xfId="0" applyFont="1" applyFill="1" applyAlignment="1">
      <alignment horizontal="center" vertical="center"/>
    </xf>
    <xf numFmtId="0" fontId="2" fillId="7" borderId="0" xfId="0" applyFont="1" applyFill="1" applyBorder="1" applyAlignment="1">
      <alignment horizontal="center"/>
    </xf>
    <xf numFmtId="0" fontId="3" fillId="7" borderId="1" xfId="0" applyFont="1" applyFill="1" applyBorder="1" applyAlignment="1">
      <alignment horizontal="center" vertical="center"/>
    </xf>
    <xf numFmtId="0" fontId="4" fillId="7" borderId="1" xfId="4" applyNumberFormat="1" applyFont="1" applyFill="1" applyBorder="1" applyAlignment="1">
      <alignment vertical="center"/>
    </xf>
    <xf numFmtId="0" fontId="7" fillId="7" borderId="0" xfId="0" applyFont="1" applyFill="1" applyAlignment="1">
      <alignment horizontal="center" vertical="center"/>
    </xf>
    <xf numFmtId="0" fontId="3" fillId="12"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9" borderId="2" xfId="0" applyFont="1" applyFill="1" applyBorder="1" applyAlignment="1">
      <alignment horizontal="center" vertical="center"/>
    </xf>
    <xf numFmtId="0" fontId="4" fillId="0" borderId="9"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9" fontId="8" fillId="0" borderId="0" xfId="0" applyNumberFormat="1" applyFont="1" applyFill="1"/>
    <xf numFmtId="0" fontId="3" fillId="2" borderId="9" xfId="0" applyFont="1" applyFill="1" applyBorder="1" applyAlignment="1">
      <alignment horizontal="center" vertical="center" wrapText="1"/>
    </xf>
    <xf numFmtId="0" fontId="2" fillId="0" borderId="16" xfId="0" applyFont="1" applyBorder="1" applyAlignment="1">
      <alignment horizontal="center" vertical="center" wrapText="1"/>
    </xf>
    <xf numFmtId="3"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0" applyFont="1" applyFill="1" applyAlignment="1">
      <alignment horizontal="center" vertical="center"/>
    </xf>
    <xf numFmtId="0" fontId="4" fillId="0" borderId="9" xfId="0" applyFont="1" applyFill="1" applyBorder="1" applyAlignment="1">
      <alignment horizontal="center" vertical="center" wrapText="1"/>
    </xf>
    <xf numFmtId="0" fontId="2" fillId="0" borderId="9" xfId="0" applyFont="1" applyFill="1" applyBorder="1" applyAlignment="1">
      <alignment horizontal="center" vertical="center" wrapText="1"/>
    </xf>
    <xf numFmtId="3" fontId="4" fillId="0" borderId="9" xfId="0" applyNumberFormat="1" applyFont="1" applyFill="1" applyBorder="1" applyAlignment="1">
      <alignment horizontal="center" vertical="center" wrapText="1"/>
    </xf>
    <xf numFmtId="0" fontId="0" fillId="7" borderId="0" xfId="0" applyFill="1"/>
    <xf numFmtId="0" fontId="13" fillId="7"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9" fontId="2" fillId="0" borderId="0" xfId="0" applyNumberFormat="1" applyFont="1" applyFill="1"/>
    <xf numFmtId="0" fontId="2" fillId="7" borderId="0" xfId="0" applyFont="1" applyFill="1"/>
    <xf numFmtId="9" fontId="2" fillId="7" borderId="0" xfId="0" applyNumberFormat="1" applyFont="1" applyFill="1"/>
    <xf numFmtId="0" fontId="0" fillId="4" borderId="9" xfId="0" applyFill="1" applyBorder="1"/>
    <xf numFmtId="9" fontId="2" fillId="4" borderId="0" xfId="3" applyFont="1" applyFill="1" applyAlignment="1">
      <alignment horizontal="center" vertical="center"/>
    </xf>
    <xf numFmtId="0" fontId="2" fillId="4" borderId="0" xfId="0" applyFont="1" applyFill="1" applyAlignment="1">
      <alignment horizontal="center" vertical="center" wrapText="1"/>
    </xf>
    <xf numFmtId="0" fontId="13" fillId="7" borderId="6" xfId="0" applyFont="1" applyFill="1" applyBorder="1" applyAlignment="1">
      <alignment horizontal="center" vertical="center" wrapText="1"/>
    </xf>
    <xf numFmtId="0" fontId="0" fillId="4" borderId="1" xfId="0" applyFill="1" applyBorder="1"/>
    <xf numFmtId="0" fontId="13" fillId="4" borderId="6" xfId="0" applyFont="1" applyFill="1" applyBorder="1" applyAlignment="1">
      <alignment horizontal="center" vertical="center" wrapText="1"/>
    </xf>
    <xf numFmtId="9" fontId="2" fillId="8" borderId="0" xfId="0" applyNumberFormat="1" applyFont="1" applyFill="1" applyBorder="1"/>
    <xf numFmtId="9" fontId="8" fillId="8" borderId="0" xfId="0" applyNumberFormat="1" applyFont="1" applyFill="1" applyBorder="1"/>
    <xf numFmtId="0" fontId="0" fillId="8" borderId="0" xfId="0" applyFill="1" applyBorder="1"/>
    <xf numFmtId="9" fontId="2" fillId="12" borderId="9" xfId="3" applyFont="1" applyFill="1" applyBorder="1" applyAlignment="1">
      <alignment horizontal="right" vertical="center"/>
    </xf>
    <xf numFmtId="9" fontId="2" fillId="4" borderId="9" xfId="3" applyFont="1" applyFill="1" applyBorder="1" applyAlignment="1">
      <alignment horizontal="right" vertical="center"/>
    </xf>
    <xf numFmtId="3" fontId="2" fillId="4" borderId="1" xfId="0" applyNumberFormat="1" applyFont="1" applyFill="1" applyBorder="1" applyAlignment="1">
      <alignment horizontal="right" vertical="center"/>
    </xf>
    <xf numFmtId="9" fontId="2" fillId="12" borderId="1" xfId="3" applyFont="1" applyFill="1" applyBorder="1" applyAlignment="1">
      <alignment horizontal="right" vertical="center"/>
    </xf>
    <xf numFmtId="9" fontId="2" fillId="12" borderId="1" xfId="3" applyFont="1" applyFill="1" applyBorder="1" applyAlignment="1">
      <alignment horizontal="right" vertical="center" wrapText="1"/>
    </xf>
    <xf numFmtId="3" fontId="4" fillId="4" borderId="1" xfId="0" applyNumberFormat="1" applyFont="1" applyFill="1" applyBorder="1" applyAlignment="1">
      <alignment horizontal="right" vertical="center"/>
    </xf>
    <xf numFmtId="3" fontId="4" fillId="4" borderId="1" xfId="1" applyNumberFormat="1" applyFont="1" applyFill="1" applyBorder="1" applyAlignment="1">
      <alignment horizontal="right" vertical="center"/>
    </xf>
    <xf numFmtId="0" fontId="4" fillId="0" borderId="9" xfId="0" applyFont="1" applyFill="1" applyBorder="1" applyAlignment="1">
      <alignment horizontal="center" vertical="center" wrapText="1"/>
    </xf>
    <xf numFmtId="0" fontId="4" fillId="0" borderId="1"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2" fillId="13" borderId="9" xfId="3" applyNumberFormat="1" applyFont="1" applyFill="1" applyBorder="1" applyAlignment="1">
      <alignment horizontal="right" vertical="center"/>
    </xf>
    <xf numFmtId="0" fontId="2" fillId="13" borderId="1" xfId="3" applyNumberFormat="1" applyFont="1" applyFill="1" applyBorder="1" applyAlignment="1">
      <alignment horizontal="right" vertical="center"/>
    </xf>
    <xf numFmtId="9" fontId="4" fillId="4" borderId="9" xfId="3" applyFont="1" applyFill="1" applyBorder="1" applyAlignment="1">
      <alignment horizontal="right" vertical="center"/>
    </xf>
    <xf numFmtId="0" fontId="2" fillId="7" borderId="9" xfId="0" applyFont="1" applyFill="1" applyBorder="1" applyAlignment="1">
      <alignment horizontal="center" vertical="center"/>
    </xf>
    <xf numFmtId="9" fontId="4" fillId="4" borderId="1" xfId="3" applyFont="1" applyFill="1" applyBorder="1" applyAlignment="1">
      <alignment horizontal="right" vertical="center"/>
    </xf>
    <xf numFmtId="168" fontId="2" fillId="7" borderId="9" xfId="1" applyNumberFormat="1" applyFont="1" applyFill="1" applyBorder="1" applyAlignment="1">
      <alignment horizontal="center" vertical="center"/>
    </xf>
    <xf numFmtId="3" fontId="2" fillId="7" borderId="1" xfId="0" applyNumberFormat="1" applyFont="1" applyFill="1" applyBorder="1" applyAlignment="1">
      <alignment horizontal="center" vertical="center"/>
    </xf>
    <xf numFmtId="9" fontId="2" fillId="12" borderId="9" xfId="3" applyFont="1" applyFill="1" applyBorder="1" applyAlignment="1">
      <alignment horizontal="right" vertical="center"/>
    </xf>
    <xf numFmtId="9" fontId="2" fillId="12" borderId="1" xfId="3" applyFont="1" applyFill="1" applyBorder="1" applyAlignment="1">
      <alignment horizontal="right" vertical="center"/>
    </xf>
    <xf numFmtId="3" fontId="4" fillId="7" borderId="9" xfId="1" applyNumberFormat="1" applyFont="1" applyFill="1" applyBorder="1" applyAlignment="1">
      <alignment horizontal="center" vertical="center"/>
    </xf>
    <xf numFmtId="41" fontId="4" fillId="7" borderId="1" xfId="4" applyNumberFormat="1" applyFont="1" applyFill="1" applyBorder="1" applyAlignment="1">
      <alignment horizontal="center" vertical="center"/>
    </xf>
    <xf numFmtId="3" fontId="4" fillId="4" borderId="9" xfId="1" applyNumberFormat="1" applyFont="1" applyFill="1" applyBorder="1" applyAlignment="1">
      <alignment horizontal="right" vertical="center"/>
    </xf>
    <xf numFmtId="9" fontId="2" fillId="12" borderId="1" xfId="3" applyNumberFormat="1" applyFont="1" applyFill="1" applyBorder="1" applyAlignment="1">
      <alignment horizontal="right" vertical="center"/>
    </xf>
    <xf numFmtId="3" fontId="4" fillId="0" borderId="1" xfId="0" applyNumberFormat="1" applyFont="1" applyFill="1" applyBorder="1" applyAlignment="1">
      <alignment vertical="center" wrapText="1"/>
    </xf>
    <xf numFmtId="3" fontId="4" fillId="7" borderId="1" xfId="0" applyNumberFormat="1" applyFont="1" applyFill="1" applyBorder="1" applyAlignment="1">
      <alignment horizontal="center" vertical="center" wrapText="1"/>
    </xf>
    <xf numFmtId="3" fontId="4" fillId="7" borderId="9" xfId="0" applyNumberFormat="1" applyFont="1" applyFill="1" applyBorder="1" applyAlignment="1">
      <alignment horizontal="center" vertical="center" wrapText="1"/>
    </xf>
    <xf numFmtId="3" fontId="2" fillId="7" borderId="1" xfId="0" applyNumberFormat="1" applyFont="1" applyFill="1" applyBorder="1" applyAlignment="1">
      <alignment horizontal="center" vertical="center" wrapText="1"/>
    </xf>
    <xf numFmtId="3" fontId="2" fillId="7" borderId="9" xfId="0" applyNumberFormat="1" applyFont="1" applyFill="1" applyBorder="1" applyAlignment="1">
      <alignment horizontal="center" vertical="center" wrapText="1"/>
    </xf>
    <xf numFmtId="9" fontId="4" fillId="7" borderId="1" xfId="3" applyFont="1" applyFill="1" applyBorder="1" applyAlignment="1">
      <alignment horizontal="center" vertical="center"/>
    </xf>
    <xf numFmtId="9" fontId="4" fillId="7" borderId="13" xfId="3" applyFont="1" applyFill="1" applyBorder="1" applyAlignment="1">
      <alignment vertical="center"/>
    </xf>
    <xf numFmtId="9" fontId="4" fillId="7" borderId="9" xfId="3" applyFont="1" applyFill="1" applyBorder="1" applyAlignment="1">
      <alignment horizontal="center" vertical="center"/>
    </xf>
    <xf numFmtId="9" fontId="4" fillId="7" borderId="1" xfId="3" applyFont="1" applyFill="1" applyBorder="1" applyAlignment="1">
      <alignment horizontal="right" vertical="center"/>
    </xf>
    <xf numFmtId="9" fontId="2" fillId="7" borderId="0" xfId="0" applyNumberFormat="1" applyFont="1" applyFill="1" applyAlignment="1">
      <alignment horizontal="center" vertical="center"/>
    </xf>
    <xf numFmtId="0" fontId="8" fillId="7" borderId="0" xfId="0" applyFont="1" applyFill="1" applyAlignment="1">
      <alignment horizontal="center" vertical="center"/>
    </xf>
    <xf numFmtId="9" fontId="2" fillId="7" borderId="0" xfId="3" applyFont="1" applyFill="1" applyAlignment="1">
      <alignment horizontal="center" vertical="center"/>
    </xf>
    <xf numFmtId="0" fontId="2" fillId="7" borderId="0" xfId="0" applyFont="1" applyFill="1" applyAlignment="1">
      <alignment horizontal="center" vertical="center" wrapText="1"/>
    </xf>
    <xf numFmtId="168" fontId="2" fillId="4" borderId="9" xfId="1" applyNumberFormat="1" applyFont="1" applyFill="1" applyBorder="1" applyAlignment="1">
      <alignment horizontal="right" vertical="center"/>
    </xf>
    <xf numFmtId="41" fontId="4" fillId="4" borderId="1" xfId="4" applyNumberFormat="1" applyFont="1" applyFill="1" applyBorder="1" applyAlignment="1">
      <alignment horizontal="right" vertical="center"/>
    </xf>
    <xf numFmtId="0" fontId="2" fillId="4" borderId="9" xfId="0" applyFont="1" applyFill="1" applyBorder="1" applyAlignment="1">
      <alignment horizontal="right" vertical="center" wrapText="1"/>
    </xf>
    <xf numFmtId="0" fontId="4" fillId="4" borderId="1" xfId="3" applyNumberFormat="1" applyFont="1" applyFill="1" applyBorder="1" applyAlignment="1">
      <alignment horizontal="right" vertical="center"/>
    </xf>
    <xf numFmtId="0" fontId="4" fillId="4" borderId="9" xfId="4" applyNumberFormat="1" applyFont="1" applyFill="1" applyBorder="1" applyAlignment="1">
      <alignment horizontal="right" vertical="center"/>
    </xf>
    <xf numFmtId="0" fontId="4" fillId="4" borderId="1" xfId="4" applyNumberFormat="1" applyFont="1" applyFill="1" applyBorder="1" applyAlignment="1">
      <alignment horizontal="right" vertical="center"/>
    </xf>
    <xf numFmtId="0" fontId="8" fillId="4" borderId="0" xfId="0" applyFont="1" applyFill="1" applyAlignment="1">
      <alignment horizontal="center" vertical="center"/>
    </xf>
    <xf numFmtId="0" fontId="2" fillId="13" borderId="0" xfId="0" applyFont="1" applyFill="1" applyAlignment="1">
      <alignment horizontal="center" vertical="center"/>
    </xf>
    <xf numFmtId="0" fontId="2" fillId="13" borderId="0" xfId="0" applyFont="1" applyFill="1" applyBorder="1" applyAlignment="1">
      <alignment horizontal="center"/>
    </xf>
    <xf numFmtId="0" fontId="3" fillId="13" borderId="1" xfId="0" applyFont="1" applyFill="1" applyBorder="1" applyAlignment="1">
      <alignment horizontal="center" vertical="center"/>
    </xf>
    <xf numFmtId="0" fontId="3" fillId="13" borderId="9" xfId="0" applyFont="1" applyFill="1" applyBorder="1" applyAlignment="1">
      <alignment horizontal="center" vertical="center" wrapText="1"/>
    </xf>
    <xf numFmtId="167" fontId="2" fillId="13" borderId="6" xfId="4" applyFont="1" applyFill="1" applyBorder="1" applyAlignment="1">
      <alignment horizontal="right" vertical="center"/>
    </xf>
    <xf numFmtId="167" fontId="2" fillId="13" borderId="2" xfId="4" applyFont="1" applyFill="1" applyBorder="1" applyAlignment="1">
      <alignment horizontal="right" vertical="center"/>
    </xf>
    <xf numFmtId="0" fontId="2" fillId="13" borderId="1" xfId="4" applyNumberFormat="1" applyFont="1" applyFill="1" applyBorder="1" applyAlignment="1">
      <alignment horizontal="right" vertical="center"/>
    </xf>
    <xf numFmtId="9" fontId="2" fillId="13" borderId="0" xfId="0" applyNumberFormat="1" applyFont="1" applyFill="1" applyAlignment="1">
      <alignment horizontal="center" vertical="center"/>
    </xf>
    <xf numFmtId="9" fontId="2" fillId="13" borderId="0" xfId="3" applyFont="1" applyFill="1" applyAlignment="1">
      <alignment horizontal="center" vertical="center"/>
    </xf>
    <xf numFmtId="0" fontId="2" fillId="13" borderId="0" xfId="0" applyFont="1" applyFill="1" applyAlignment="1">
      <alignment horizontal="center" vertical="center" wrapText="1"/>
    </xf>
    <xf numFmtId="0" fontId="2" fillId="14" borderId="0" xfId="0" applyFont="1" applyFill="1" applyAlignment="1">
      <alignment horizontal="center" vertical="center"/>
    </xf>
    <xf numFmtId="0" fontId="2" fillId="14" borderId="0" xfId="0" applyFont="1" applyFill="1" applyBorder="1" applyAlignment="1">
      <alignment horizontal="center"/>
    </xf>
    <xf numFmtId="0" fontId="3" fillId="14" borderId="1" xfId="0" applyFont="1" applyFill="1" applyBorder="1" applyAlignment="1">
      <alignment horizontal="center" vertical="center"/>
    </xf>
    <xf numFmtId="0" fontId="3" fillId="14" borderId="9" xfId="0" applyFont="1" applyFill="1" applyBorder="1" applyAlignment="1">
      <alignment horizontal="center" vertical="center" wrapText="1"/>
    </xf>
    <xf numFmtId="0" fontId="3" fillId="14" borderId="1" xfId="0" applyFont="1" applyFill="1" applyBorder="1" applyAlignment="1">
      <alignment horizontal="center" vertical="center" wrapText="1"/>
    </xf>
    <xf numFmtId="0" fontId="2" fillId="14" borderId="9" xfId="3" applyNumberFormat="1" applyFont="1" applyFill="1" applyBorder="1" applyAlignment="1">
      <alignment horizontal="right" vertical="center"/>
    </xf>
    <xf numFmtId="9" fontId="2" fillId="14" borderId="9" xfId="3" applyFont="1" applyFill="1" applyBorder="1" applyAlignment="1">
      <alignment horizontal="right" vertical="center"/>
    </xf>
    <xf numFmtId="0" fontId="2" fillId="14" borderId="1" xfId="3" applyNumberFormat="1" applyFont="1" applyFill="1" applyBorder="1" applyAlignment="1">
      <alignment horizontal="right" vertical="center"/>
    </xf>
    <xf numFmtId="9" fontId="2" fillId="14" borderId="1" xfId="3" applyFont="1" applyFill="1" applyBorder="1" applyAlignment="1">
      <alignment horizontal="right" vertical="center"/>
    </xf>
    <xf numFmtId="167" fontId="2" fillId="14" borderId="6" xfId="4" applyFont="1" applyFill="1" applyBorder="1" applyAlignment="1">
      <alignment horizontal="right" vertical="center"/>
    </xf>
    <xf numFmtId="167" fontId="2" fillId="14" borderId="2" xfId="4" applyFont="1" applyFill="1" applyBorder="1" applyAlignment="1">
      <alignment horizontal="right" vertical="center"/>
    </xf>
    <xf numFmtId="9" fontId="2" fillId="14" borderId="13" xfId="3" applyFont="1" applyFill="1" applyBorder="1" applyAlignment="1">
      <alignment horizontal="right" vertical="center"/>
    </xf>
    <xf numFmtId="0" fontId="2" fillId="14" borderId="1" xfId="4" applyNumberFormat="1" applyFont="1" applyFill="1" applyBorder="1" applyAlignment="1">
      <alignment horizontal="right" vertical="center"/>
    </xf>
    <xf numFmtId="9" fontId="2" fillId="14" borderId="0" xfId="0" applyNumberFormat="1" applyFont="1" applyFill="1" applyAlignment="1">
      <alignment horizontal="center" vertical="center"/>
    </xf>
    <xf numFmtId="9" fontId="2" fillId="14" borderId="0" xfId="3" applyFont="1" applyFill="1" applyAlignment="1">
      <alignment horizontal="center" vertical="center"/>
    </xf>
    <xf numFmtId="0" fontId="2" fillId="14" borderId="0" xfId="0" applyFont="1" applyFill="1" applyAlignment="1">
      <alignment horizontal="center" vertical="center" wrapText="1"/>
    </xf>
    <xf numFmtId="0" fontId="19" fillId="14" borderId="0" xfId="0" applyFont="1" applyFill="1" applyAlignment="1">
      <alignment horizontal="center" vertical="center"/>
    </xf>
    <xf numFmtId="0" fontId="2" fillId="15" borderId="0" xfId="0" applyFont="1" applyFill="1" applyAlignment="1">
      <alignment horizontal="center" vertical="center"/>
    </xf>
    <xf numFmtId="0" fontId="2" fillId="15" borderId="0" xfId="0" applyFont="1" applyFill="1" applyBorder="1" applyAlignment="1">
      <alignment horizontal="center"/>
    </xf>
    <xf numFmtId="0" fontId="3" fillId="15" borderId="1" xfId="0" applyFont="1" applyFill="1" applyBorder="1" applyAlignment="1">
      <alignment horizontal="center" vertical="center"/>
    </xf>
    <xf numFmtId="0" fontId="3" fillId="15" borderId="1" xfId="0" applyFont="1" applyFill="1" applyBorder="1" applyAlignment="1">
      <alignment horizontal="center" vertical="center" wrapText="1"/>
    </xf>
    <xf numFmtId="9" fontId="2" fillId="15" borderId="0" xfId="0" applyNumberFormat="1" applyFont="1" applyFill="1" applyAlignment="1">
      <alignment vertical="center"/>
    </xf>
    <xf numFmtId="9" fontId="2" fillId="15" borderId="0" xfId="0" applyNumberFormat="1" applyFont="1" applyFill="1" applyAlignment="1">
      <alignment horizontal="center" vertical="center"/>
    </xf>
    <xf numFmtId="9" fontId="2" fillId="15" borderId="0" xfId="3" applyFont="1" applyFill="1" applyAlignment="1">
      <alignment horizontal="center" vertical="center"/>
    </xf>
    <xf numFmtId="0" fontId="2" fillId="15" borderId="0" xfId="0" applyFont="1" applyFill="1" applyAlignment="1">
      <alignment horizontal="center" vertical="center" wrapText="1"/>
    </xf>
    <xf numFmtId="0" fontId="19" fillId="15" borderId="0" xfId="0" applyFont="1" applyFill="1" applyAlignment="1">
      <alignment horizontal="center" vertical="center"/>
    </xf>
    <xf numFmtId="0" fontId="2" fillId="15" borderId="0" xfId="0" applyFont="1" applyFill="1" applyAlignment="1">
      <alignment vertical="center"/>
    </xf>
    <xf numFmtId="0" fontId="2" fillId="15" borderId="0" xfId="0" applyFont="1" applyFill="1" applyBorder="1" applyAlignment="1">
      <alignment vertical="center"/>
    </xf>
    <xf numFmtId="0" fontId="3" fillId="15" borderId="1" xfId="0" applyFont="1" applyFill="1" applyBorder="1" applyAlignment="1">
      <alignment vertical="center"/>
    </xf>
    <xf numFmtId="9" fontId="2" fillId="15" borderId="9" xfId="3" applyFont="1" applyFill="1" applyBorder="1" applyAlignment="1">
      <alignment horizontal="right" vertical="center"/>
    </xf>
    <xf numFmtId="9" fontId="2" fillId="15" borderId="1" xfId="3" applyFont="1" applyFill="1" applyBorder="1" applyAlignment="1">
      <alignment horizontal="right" vertical="center"/>
    </xf>
    <xf numFmtId="9" fontId="2" fillId="15" borderId="13" xfId="3" applyFont="1" applyFill="1" applyBorder="1" applyAlignment="1">
      <alignment horizontal="right" vertical="center"/>
    </xf>
    <xf numFmtId="9" fontId="2" fillId="15" borderId="0" xfId="3" applyFont="1" applyFill="1" applyAlignment="1">
      <alignment vertical="center"/>
    </xf>
    <xf numFmtId="0" fontId="2" fillId="15" borderId="0" xfId="0" applyFont="1" applyFill="1" applyAlignment="1">
      <alignment vertical="center" wrapText="1"/>
    </xf>
    <xf numFmtId="9" fontId="2" fillId="15" borderId="1" xfId="3" applyFont="1" applyFill="1" applyBorder="1" applyAlignment="1">
      <alignment horizontal="right" vertical="center" wrapText="1"/>
    </xf>
    <xf numFmtId="0" fontId="21" fillId="4" borderId="1" xfId="0" applyFont="1" applyFill="1" applyBorder="1" applyAlignment="1">
      <alignment horizontal="center" vertical="center" wrapText="1"/>
    </xf>
    <xf numFmtId="0" fontId="2" fillId="16" borderId="0" xfId="0" applyFont="1" applyFill="1" applyAlignment="1">
      <alignment horizontal="center" vertical="center"/>
    </xf>
    <xf numFmtId="0" fontId="2" fillId="16" borderId="0" xfId="0" applyFont="1" applyFill="1" applyBorder="1" applyAlignment="1">
      <alignment horizontal="center"/>
    </xf>
    <xf numFmtId="0" fontId="3" fillId="16" borderId="1" xfId="0" applyFont="1" applyFill="1" applyBorder="1" applyAlignment="1">
      <alignment horizontal="center" vertical="center"/>
    </xf>
    <xf numFmtId="0" fontId="21" fillId="16" borderId="1" xfId="0" applyFont="1" applyFill="1" applyBorder="1" applyAlignment="1">
      <alignment horizontal="center" vertical="center" wrapText="1"/>
    </xf>
    <xf numFmtId="168" fontId="2" fillId="16" borderId="9" xfId="3" applyNumberFormat="1" applyFont="1" applyFill="1" applyBorder="1" applyAlignment="1">
      <alignment horizontal="right" vertical="center"/>
    </xf>
    <xf numFmtId="1" fontId="2" fillId="16" borderId="1" xfId="3" applyNumberFormat="1" applyFont="1" applyFill="1" applyBorder="1" applyAlignment="1">
      <alignment horizontal="right" vertical="center"/>
    </xf>
    <xf numFmtId="167" fontId="2" fillId="16" borderId="1" xfId="4" applyFont="1" applyFill="1" applyBorder="1" applyAlignment="1">
      <alignment horizontal="right" vertical="center"/>
    </xf>
    <xf numFmtId="167" fontId="2" fillId="16" borderId="1" xfId="3" applyNumberFormat="1" applyFont="1" applyFill="1" applyBorder="1" applyAlignment="1">
      <alignment horizontal="right" vertical="center"/>
    </xf>
    <xf numFmtId="41" fontId="2" fillId="16" borderId="1" xfId="3" applyNumberFormat="1" applyFont="1" applyFill="1" applyBorder="1" applyAlignment="1">
      <alignment horizontal="right" vertical="center"/>
    </xf>
    <xf numFmtId="167" fontId="2" fillId="16" borderId="1" xfId="4" applyFont="1" applyFill="1" applyBorder="1" applyAlignment="1">
      <alignment horizontal="center" vertical="center"/>
    </xf>
    <xf numFmtId="0" fontId="2" fillId="16" borderId="9" xfId="3" applyNumberFormat="1" applyFont="1" applyFill="1" applyBorder="1" applyAlignment="1">
      <alignment vertical="center"/>
    </xf>
    <xf numFmtId="0" fontId="2" fillId="16" borderId="9" xfId="4" applyNumberFormat="1" applyFont="1" applyFill="1" applyBorder="1" applyAlignment="1">
      <alignment horizontal="right" vertical="center"/>
    </xf>
    <xf numFmtId="9" fontId="2" fillId="16" borderId="0" xfId="0" applyNumberFormat="1" applyFont="1" applyFill="1" applyAlignment="1">
      <alignment horizontal="center" vertical="center"/>
    </xf>
    <xf numFmtId="9" fontId="2" fillId="16" borderId="0" xfId="3" applyFont="1" applyFill="1" applyAlignment="1">
      <alignment horizontal="center" vertical="center"/>
    </xf>
    <xf numFmtId="0" fontId="2" fillId="16" borderId="0" xfId="0" applyFont="1" applyFill="1" applyAlignment="1">
      <alignment horizontal="center" vertical="center" wrapText="1"/>
    </xf>
    <xf numFmtId="0" fontId="7" fillId="12" borderId="0" xfId="0" applyFont="1" applyFill="1" applyAlignment="1">
      <alignment horizontal="center" vertical="center"/>
    </xf>
    <xf numFmtId="0" fontId="7" fillId="12" borderId="0" xfId="0" applyFont="1" applyFill="1" applyBorder="1" applyAlignment="1">
      <alignment horizontal="center"/>
    </xf>
    <xf numFmtId="0" fontId="20" fillId="12" borderId="1" xfId="0" applyFont="1" applyFill="1" applyBorder="1" applyAlignment="1">
      <alignment horizontal="center" vertical="center"/>
    </xf>
    <xf numFmtId="0" fontId="21" fillId="12" borderId="1" xfId="0" applyFont="1" applyFill="1" applyBorder="1" applyAlignment="1">
      <alignment horizontal="center" vertical="center" wrapText="1"/>
    </xf>
    <xf numFmtId="9" fontId="2" fillId="12" borderId="9" xfId="3" applyNumberFormat="1" applyFont="1" applyFill="1" applyBorder="1" applyAlignment="1">
      <alignment horizontal="right" vertical="center"/>
    </xf>
    <xf numFmtId="9" fontId="7" fillId="12" borderId="0" xfId="0" applyNumberFormat="1" applyFont="1" applyFill="1" applyAlignment="1">
      <alignment vertical="center"/>
    </xf>
    <xf numFmtId="9" fontId="7" fillId="12" borderId="0" xfId="0" applyNumberFormat="1" applyFont="1" applyFill="1" applyAlignment="1">
      <alignment horizontal="center" vertical="center"/>
    </xf>
    <xf numFmtId="9" fontId="7" fillId="12" borderId="0" xfId="3" applyFont="1" applyFill="1" applyAlignment="1">
      <alignment horizontal="center" vertical="center"/>
    </xf>
    <xf numFmtId="0" fontId="7" fillId="12" borderId="0" xfId="0" applyFont="1" applyFill="1" applyAlignment="1">
      <alignment horizontal="center" vertical="center" wrapText="1"/>
    </xf>
    <xf numFmtId="9" fontId="2" fillId="12" borderId="1" xfId="3" applyNumberFormat="1" applyFont="1" applyFill="1" applyBorder="1" applyAlignment="1">
      <alignment horizontal="center" vertical="center"/>
    </xf>
    <xf numFmtId="9" fontId="2" fillId="12" borderId="2" xfId="3" applyNumberFormat="1" applyFont="1" applyFill="1" applyBorder="1" applyAlignment="1">
      <alignment horizontal="right" vertical="center"/>
    </xf>
    <xf numFmtId="9" fontId="2" fillId="12" borderId="13" xfId="3" applyNumberFormat="1" applyFont="1" applyFill="1" applyBorder="1" applyAlignment="1">
      <alignment horizontal="right" vertical="center"/>
    </xf>
    <xf numFmtId="9" fontId="2" fillId="12" borderId="9" xfId="3" applyNumberFormat="1" applyFont="1" applyFill="1" applyBorder="1" applyAlignment="1">
      <alignment horizontal="right" vertical="center"/>
    </xf>
    <xf numFmtId="9" fontId="2" fillId="12" borderId="2" xfId="3" applyNumberFormat="1" applyFont="1" applyFill="1" applyBorder="1" applyAlignment="1">
      <alignment horizontal="center" vertical="center"/>
    </xf>
    <xf numFmtId="9" fontId="2" fillId="12" borderId="13" xfId="3" applyNumberFormat="1" applyFont="1" applyFill="1" applyBorder="1" applyAlignment="1">
      <alignment horizontal="center" vertical="center"/>
    </xf>
    <xf numFmtId="9" fontId="2" fillId="12" borderId="9" xfId="3" applyNumberFormat="1" applyFont="1" applyFill="1" applyBorder="1" applyAlignment="1">
      <alignment horizontal="center" vertical="center"/>
    </xf>
    <xf numFmtId="9" fontId="2" fillId="12" borderId="2" xfId="3" applyFont="1" applyFill="1" applyBorder="1" applyAlignment="1">
      <alignment horizontal="center" vertical="center"/>
    </xf>
    <xf numFmtId="9" fontId="2" fillId="12" borderId="13" xfId="3" applyFont="1" applyFill="1" applyBorder="1" applyAlignment="1">
      <alignment horizontal="center" vertical="center"/>
    </xf>
    <xf numFmtId="9" fontId="2" fillId="12" borderId="9" xfId="3" applyFont="1" applyFill="1" applyBorder="1" applyAlignment="1">
      <alignment horizontal="center" vertical="center"/>
    </xf>
    <xf numFmtId="9" fontId="2" fillId="12" borderId="2" xfId="3" applyFont="1" applyFill="1" applyBorder="1" applyAlignment="1">
      <alignment horizontal="right" vertical="center"/>
    </xf>
    <xf numFmtId="9" fontId="2" fillId="12" borderId="13" xfId="3" applyFont="1" applyFill="1" applyBorder="1" applyAlignment="1">
      <alignment horizontal="right" vertical="center"/>
    </xf>
    <xf numFmtId="9" fontId="2" fillId="12" borderId="9" xfId="3" applyFont="1" applyFill="1" applyBorder="1" applyAlignment="1">
      <alignment horizontal="right" vertical="center"/>
    </xf>
    <xf numFmtId="9" fontId="2" fillId="12" borderId="1" xfId="3" applyNumberFormat="1" applyFont="1" applyFill="1" applyBorder="1" applyAlignment="1">
      <alignment horizontal="right" vertical="center"/>
    </xf>
    <xf numFmtId="9" fontId="2" fillId="12" borderId="1" xfId="3" applyFont="1" applyFill="1" applyBorder="1" applyAlignment="1">
      <alignment horizontal="right" vertical="center"/>
    </xf>
    <xf numFmtId="168" fontId="2" fillId="16" borderId="1" xfId="3" applyNumberFormat="1" applyFont="1" applyFill="1" applyBorder="1" applyAlignment="1">
      <alignment horizontal="center" vertical="center"/>
    </xf>
    <xf numFmtId="9" fontId="2" fillId="16" borderId="1" xfId="3" applyFont="1" applyFill="1" applyBorder="1" applyAlignment="1">
      <alignment horizontal="center" vertical="center"/>
    </xf>
    <xf numFmtId="167" fontId="2" fillId="16" borderId="1" xfId="4" applyFont="1" applyFill="1" applyBorder="1" applyAlignment="1">
      <alignment horizontal="center" vertical="center"/>
    </xf>
    <xf numFmtId="41" fontId="2" fillId="16" borderId="1" xfId="3" applyNumberFormat="1" applyFont="1" applyFill="1" applyBorder="1" applyAlignment="1">
      <alignment horizontal="center" vertical="center"/>
    </xf>
    <xf numFmtId="167" fontId="2" fillId="16" borderId="2" xfId="3" applyNumberFormat="1" applyFont="1" applyFill="1" applyBorder="1" applyAlignment="1">
      <alignment horizontal="center" vertical="center"/>
    </xf>
    <xf numFmtId="9" fontId="2" fillId="16" borderId="13" xfId="3" applyFont="1" applyFill="1" applyBorder="1" applyAlignment="1">
      <alignment horizontal="center" vertical="center"/>
    </xf>
    <xf numFmtId="9" fontId="2" fillId="16" borderId="9" xfId="3" applyFont="1" applyFill="1" applyBorder="1" applyAlignment="1">
      <alignment horizontal="center" vertical="center"/>
    </xf>
    <xf numFmtId="0" fontId="2" fillId="16" borderId="2" xfId="4" applyNumberFormat="1" applyFont="1" applyFill="1" applyBorder="1" applyAlignment="1">
      <alignment horizontal="right" vertical="center"/>
    </xf>
    <xf numFmtId="0" fontId="2" fillId="16" borderId="9" xfId="4" applyNumberFormat="1" applyFont="1" applyFill="1" applyBorder="1" applyAlignment="1">
      <alignment horizontal="right" vertical="center"/>
    </xf>
    <xf numFmtId="167" fontId="2" fillId="16" borderId="1" xfId="3" applyNumberFormat="1" applyFont="1" applyFill="1" applyBorder="1" applyAlignment="1">
      <alignment horizontal="center" vertical="center"/>
    </xf>
    <xf numFmtId="0" fontId="2" fillId="16" borderId="2" xfId="3" applyNumberFormat="1" applyFont="1" applyFill="1" applyBorder="1" applyAlignment="1">
      <alignment horizontal="right" vertical="center"/>
    </xf>
    <xf numFmtId="0" fontId="2" fillId="16" borderId="9" xfId="3" applyNumberFormat="1" applyFont="1" applyFill="1" applyBorder="1" applyAlignment="1">
      <alignment horizontal="right" vertical="center"/>
    </xf>
    <xf numFmtId="0" fontId="2" fillId="16" borderId="1" xfId="4" applyNumberFormat="1" applyFont="1" applyFill="1" applyBorder="1" applyAlignment="1">
      <alignment horizontal="right" vertical="center"/>
    </xf>
    <xf numFmtId="41" fontId="2" fillId="16" borderId="2" xfId="3" applyNumberFormat="1" applyFont="1" applyFill="1" applyBorder="1" applyAlignment="1">
      <alignment horizontal="center" vertical="center"/>
    </xf>
    <xf numFmtId="167" fontId="2" fillId="16" borderId="2" xfId="4" applyFont="1" applyFill="1" applyBorder="1" applyAlignment="1">
      <alignment horizontal="right" vertical="center"/>
    </xf>
    <xf numFmtId="167" fontId="2" fillId="16" borderId="13" xfId="4" applyFont="1" applyFill="1" applyBorder="1" applyAlignment="1">
      <alignment horizontal="right" vertical="center"/>
    </xf>
    <xf numFmtId="167" fontId="2" fillId="16" borderId="9" xfId="4" applyFont="1" applyFill="1" applyBorder="1" applyAlignment="1">
      <alignment horizontal="right" vertical="center"/>
    </xf>
    <xf numFmtId="168" fontId="2" fillId="16" borderId="2" xfId="3" applyNumberFormat="1" applyFont="1" applyFill="1" applyBorder="1" applyAlignment="1">
      <alignment horizontal="right" vertical="center"/>
    </xf>
    <xf numFmtId="9" fontId="2" fillId="16" borderId="13" xfId="3" applyFont="1" applyFill="1" applyBorder="1" applyAlignment="1">
      <alignment horizontal="right" vertical="center"/>
    </xf>
    <xf numFmtId="9" fontId="2" fillId="16" borderId="9" xfId="3" applyFont="1" applyFill="1" applyBorder="1" applyAlignment="1">
      <alignment horizontal="right" vertical="center"/>
    </xf>
    <xf numFmtId="168" fontId="2" fillId="16" borderId="1" xfId="3" applyNumberFormat="1" applyFont="1" applyFill="1" applyBorder="1" applyAlignment="1">
      <alignment horizontal="right" vertical="center"/>
    </xf>
    <xf numFmtId="9" fontId="2" fillId="16" borderId="1" xfId="3" applyFont="1" applyFill="1" applyBorder="1" applyAlignment="1">
      <alignment horizontal="right" vertical="center"/>
    </xf>
    <xf numFmtId="167" fontId="2" fillId="16" borderId="1" xfId="4" applyFont="1" applyFill="1" applyBorder="1" applyAlignment="1">
      <alignment horizontal="right" vertical="center"/>
    </xf>
    <xf numFmtId="167" fontId="2" fillId="16" borderId="13" xfId="3" applyNumberFormat="1" applyFont="1" applyFill="1" applyBorder="1" applyAlignment="1">
      <alignment horizontal="center" vertical="center"/>
    </xf>
    <xf numFmtId="167" fontId="2" fillId="16" borderId="9" xfId="3" applyNumberFormat="1" applyFont="1" applyFill="1" applyBorder="1" applyAlignment="1">
      <alignment horizontal="center" vertical="center"/>
    </xf>
    <xf numFmtId="167" fontId="2" fillId="16" borderId="1" xfId="3" applyNumberFormat="1" applyFont="1" applyFill="1" applyBorder="1" applyAlignment="1">
      <alignment horizontal="right" vertical="center"/>
    </xf>
    <xf numFmtId="1" fontId="2" fillId="16" borderId="1" xfId="3" applyNumberFormat="1" applyFont="1" applyFill="1" applyBorder="1" applyAlignment="1">
      <alignment horizontal="right" vertical="center"/>
    </xf>
    <xf numFmtId="1" fontId="2" fillId="16" borderId="2" xfId="3" applyNumberFormat="1" applyFont="1" applyFill="1" applyBorder="1" applyAlignment="1">
      <alignment horizontal="right" vertical="center"/>
    </xf>
    <xf numFmtId="1" fontId="2" fillId="16" borderId="13" xfId="3" applyNumberFormat="1" applyFont="1" applyFill="1" applyBorder="1" applyAlignment="1">
      <alignment horizontal="right" vertical="center"/>
    </xf>
    <xf numFmtId="1" fontId="2" fillId="16" borderId="9" xfId="3" applyNumberFormat="1" applyFont="1" applyFill="1" applyBorder="1" applyAlignment="1">
      <alignment horizontal="right" vertical="center"/>
    </xf>
    <xf numFmtId="167" fontId="2" fillId="16" borderId="2" xfId="4" applyFont="1" applyFill="1" applyBorder="1" applyAlignment="1">
      <alignment horizontal="center" vertical="center"/>
    </xf>
    <xf numFmtId="167" fontId="2" fillId="16" borderId="13" xfId="4" applyFont="1" applyFill="1" applyBorder="1" applyAlignment="1">
      <alignment horizontal="center" vertical="center"/>
    </xf>
    <xf numFmtId="167" fontId="2" fillId="16" borderId="9" xfId="4" applyFont="1" applyFill="1" applyBorder="1" applyAlignment="1">
      <alignment horizontal="center" vertical="center"/>
    </xf>
    <xf numFmtId="167" fontId="2" fillId="16" borderId="2" xfId="3" applyNumberFormat="1" applyFont="1" applyFill="1" applyBorder="1" applyAlignment="1">
      <alignment horizontal="right" vertical="center"/>
    </xf>
    <xf numFmtId="172" fontId="5" fillId="4" borderId="2" xfId="2" applyNumberFormat="1" applyFont="1" applyFill="1" applyBorder="1" applyAlignment="1">
      <alignment horizontal="center" vertical="center"/>
    </xf>
    <xf numFmtId="172" fontId="5" fillId="4" borderId="13" xfId="2" applyNumberFormat="1" applyFont="1" applyFill="1" applyBorder="1" applyAlignment="1">
      <alignment horizontal="center" vertical="center"/>
    </xf>
    <xf numFmtId="172" fontId="5" fillId="4" borderId="9" xfId="2" applyNumberFormat="1" applyFont="1" applyFill="1" applyBorder="1" applyAlignment="1">
      <alignment horizontal="center" vertical="center"/>
    </xf>
    <xf numFmtId="165" fontId="5" fillId="4" borderId="2" xfId="2" applyFont="1" applyFill="1" applyBorder="1" applyAlignment="1">
      <alignment horizontal="center" vertical="center"/>
    </xf>
    <xf numFmtId="165" fontId="5" fillId="4" borderId="13" xfId="2" applyFont="1" applyFill="1" applyBorder="1" applyAlignment="1">
      <alignment horizontal="center" vertical="center"/>
    </xf>
    <xf numFmtId="165" fontId="5" fillId="4" borderId="9" xfId="2" applyFont="1" applyFill="1" applyBorder="1" applyAlignment="1">
      <alignment horizontal="center" vertical="center"/>
    </xf>
    <xf numFmtId="9" fontId="5" fillId="4" borderId="2" xfId="3" applyFont="1" applyFill="1" applyBorder="1" applyAlignment="1">
      <alignment horizontal="center" vertical="center"/>
    </xf>
    <xf numFmtId="9" fontId="5" fillId="4" borderId="13" xfId="3" applyFont="1" applyFill="1" applyBorder="1" applyAlignment="1">
      <alignment horizontal="center" vertical="center"/>
    </xf>
    <xf numFmtId="9" fontId="5" fillId="4" borderId="9" xfId="3" applyFont="1" applyFill="1" applyBorder="1" applyAlignment="1">
      <alignment horizontal="center" vertical="center"/>
    </xf>
    <xf numFmtId="174" fontId="5" fillId="4" borderId="2" xfId="3" applyNumberFormat="1" applyFont="1" applyFill="1" applyBorder="1" applyAlignment="1">
      <alignment horizontal="center" vertical="center"/>
    </xf>
    <xf numFmtId="174" fontId="5" fillId="4" borderId="13" xfId="3" applyNumberFormat="1" applyFont="1" applyFill="1" applyBorder="1" applyAlignment="1">
      <alignment horizontal="center" vertical="center"/>
    </xf>
    <xf numFmtId="174" fontId="5" fillId="4" borderId="9" xfId="3" applyNumberFormat="1" applyFont="1" applyFill="1" applyBorder="1" applyAlignment="1">
      <alignment horizontal="center" vertical="center"/>
    </xf>
    <xf numFmtId="9" fontId="5" fillId="7" borderId="3" xfId="3" applyFont="1" applyFill="1" applyBorder="1" applyAlignment="1">
      <alignment horizontal="center" vertical="center"/>
    </xf>
    <xf numFmtId="9" fontId="5" fillId="7" borderId="10" xfId="3" applyFont="1" applyFill="1" applyBorder="1" applyAlignment="1">
      <alignment horizontal="center" vertical="center"/>
    </xf>
    <xf numFmtId="164" fontId="5" fillId="7" borderId="2" xfId="5" applyFont="1" applyFill="1" applyBorder="1" applyAlignment="1">
      <alignment horizontal="center" vertical="center"/>
    </xf>
    <xf numFmtId="164" fontId="5" fillId="7" borderId="13" xfId="5" applyFont="1" applyFill="1" applyBorder="1" applyAlignment="1">
      <alignment horizontal="center" vertical="center"/>
    </xf>
    <xf numFmtId="164" fontId="5" fillId="7" borderId="9" xfId="5" applyFont="1" applyFill="1" applyBorder="1" applyAlignment="1">
      <alignment horizontal="center" vertical="center"/>
    </xf>
    <xf numFmtId="9" fontId="5" fillId="7" borderId="14" xfId="3"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9" xfId="0"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3" fontId="4" fillId="0" borderId="13"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4" fillId="0" borderId="9" xfId="0" applyNumberFormat="1" applyFont="1" applyFill="1" applyBorder="1" applyAlignment="1">
      <alignment horizontal="center" vertical="center" wrapText="1"/>
    </xf>
    <xf numFmtId="0" fontId="2" fillId="8" borderId="2" xfId="0" applyFont="1" applyFill="1" applyBorder="1" applyAlignment="1">
      <alignment horizontal="center" vertical="center" textRotation="90"/>
    </xf>
    <xf numFmtId="0" fontId="2" fillId="8" borderId="13" xfId="0" applyFont="1" applyFill="1" applyBorder="1" applyAlignment="1">
      <alignment horizontal="center" vertical="center" textRotation="90"/>
    </xf>
    <xf numFmtId="0" fontId="2" fillId="8" borderId="9" xfId="0" applyFont="1" applyFill="1" applyBorder="1" applyAlignment="1">
      <alignment horizontal="center" vertical="center" textRotation="90"/>
    </xf>
    <xf numFmtId="0" fontId="2" fillId="8" borderId="2"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9" xfId="0" applyFont="1" applyFill="1" applyBorder="1" applyAlignment="1">
      <alignment horizontal="center" vertical="center" wrapText="1"/>
    </xf>
    <xf numFmtId="164" fontId="5" fillId="4" borderId="2" xfId="5" applyFont="1" applyFill="1" applyBorder="1" applyAlignment="1">
      <alignment horizontal="center" vertical="center"/>
    </xf>
    <xf numFmtId="164" fontId="5" fillId="4" borderId="13" xfId="5" applyFont="1" applyFill="1" applyBorder="1" applyAlignment="1">
      <alignment horizontal="center" vertical="center"/>
    </xf>
    <xf numFmtId="164" fontId="5" fillId="4" borderId="9" xfId="5" applyFont="1" applyFill="1" applyBorder="1" applyAlignment="1">
      <alignment horizontal="center" vertical="center"/>
    </xf>
    <xf numFmtId="9" fontId="5" fillId="4" borderId="3" xfId="3" applyFont="1" applyFill="1" applyBorder="1" applyAlignment="1">
      <alignment horizontal="center" vertical="center"/>
    </xf>
    <xf numFmtId="9" fontId="5" fillId="4" borderId="14" xfId="3" applyFont="1" applyFill="1" applyBorder="1" applyAlignment="1">
      <alignment horizontal="center" vertical="center"/>
    </xf>
    <xf numFmtId="9" fontId="5" fillId="4" borderId="10" xfId="3" applyFont="1" applyFill="1" applyBorder="1" applyAlignment="1">
      <alignment horizontal="center" vertical="center"/>
    </xf>
    <xf numFmtId="167" fontId="5" fillId="7" borderId="2" xfId="4" applyFont="1" applyFill="1" applyBorder="1" applyAlignment="1">
      <alignment horizontal="center" vertical="center"/>
    </xf>
    <xf numFmtId="167" fontId="5" fillId="7" borderId="9" xfId="4" applyFont="1" applyFill="1" applyBorder="1" applyAlignment="1">
      <alignment horizontal="center" vertical="center"/>
    </xf>
    <xf numFmtId="167" fontId="5" fillId="7" borderId="3" xfId="4" applyFont="1" applyFill="1" applyBorder="1" applyAlignment="1">
      <alignment horizontal="center" vertical="center"/>
    </xf>
    <xf numFmtId="167" fontId="5" fillId="7" borderId="10" xfId="4" applyFont="1" applyFill="1" applyBorder="1" applyAlignment="1">
      <alignment horizontal="center" vertical="center"/>
    </xf>
    <xf numFmtId="170" fontId="5" fillId="7" borderId="2" xfId="2" applyNumberFormat="1" applyFont="1" applyFill="1" applyBorder="1" applyAlignment="1">
      <alignment horizontal="center" vertical="center"/>
    </xf>
    <xf numFmtId="170" fontId="5" fillId="7" borderId="13" xfId="2" applyNumberFormat="1" applyFont="1" applyFill="1" applyBorder="1" applyAlignment="1">
      <alignment horizontal="center" vertical="center"/>
    </xf>
    <xf numFmtId="170" fontId="5" fillId="7" borderId="9" xfId="2" applyNumberFormat="1" applyFont="1" applyFill="1" applyBorder="1" applyAlignment="1">
      <alignment horizontal="center" vertical="center"/>
    </xf>
    <xf numFmtId="170" fontId="5" fillId="7" borderId="1" xfId="2" applyNumberFormat="1" applyFont="1" applyFill="1" applyBorder="1" applyAlignment="1">
      <alignment horizontal="center" vertical="center"/>
    </xf>
    <xf numFmtId="9" fontId="2" fillId="4" borderId="2" xfId="3" applyFont="1" applyFill="1" applyBorder="1" applyAlignment="1">
      <alignment horizontal="right" vertical="center"/>
    </xf>
    <xf numFmtId="9" fontId="2" fillId="4" borderId="13" xfId="3" applyFont="1" applyFill="1" applyBorder="1" applyAlignment="1">
      <alignment horizontal="right" vertical="center"/>
    </xf>
    <xf numFmtId="9" fontId="2" fillId="4" borderId="9" xfId="3" applyFont="1" applyFill="1" applyBorder="1" applyAlignment="1">
      <alignment horizontal="right" vertical="center"/>
    </xf>
    <xf numFmtId="173" fontId="2" fillId="4" borderId="2" xfId="3" applyNumberFormat="1" applyFont="1" applyFill="1" applyBorder="1" applyAlignment="1">
      <alignment horizontal="right" vertical="center"/>
    </xf>
    <xf numFmtId="173" fontId="2" fillId="4" borderId="13" xfId="3" applyNumberFormat="1" applyFont="1" applyFill="1" applyBorder="1" applyAlignment="1">
      <alignment horizontal="right" vertical="center"/>
    </xf>
    <xf numFmtId="173" fontId="2" fillId="4" borderId="9" xfId="3" applyNumberFormat="1" applyFont="1" applyFill="1" applyBorder="1" applyAlignment="1">
      <alignment horizontal="right" vertical="center"/>
    </xf>
    <xf numFmtId="10" fontId="2" fillId="4" borderId="2" xfId="3" applyNumberFormat="1" applyFont="1" applyFill="1" applyBorder="1" applyAlignment="1">
      <alignment horizontal="right" vertical="center"/>
    </xf>
    <xf numFmtId="10" fontId="2" fillId="4" borderId="13" xfId="3" applyNumberFormat="1" applyFont="1" applyFill="1" applyBorder="1" applyAlignment="1">
      <alignment horizontal="right" vertical="center"/>
    </xf>
    <xf numFmtId="10" fontId="2" fillId="4" borderId="9" xfId="3" applyNumberFormat="1" applyFont="1" applyFill="1" applyBorder="1" applyAlignment="1">
      <alignment horizontal="right" vertical="center"/>
    </xf>
    <xf numFmtId="167" fontId="2" fillId="14" borderId="2" xfId="4" applyFont="1" applyFill="1" applyBorder="1" applyAlignment="1">
      <alignment horizontal="right" vertical="center"/>
    </xf>
    <xf numFmtId="167" fontId="2" fillId="14" borderId="13" xfId="4" applyFont="1" applyFill="1" applyBorder="1" applyAlignment="1">
      <alignment horizontal="right" vertical="center"/>
    </xf>
    <xf numFmtId="167" fontId="2" fillId="14" borderId="9" xfId="4" applyFont="1" applyFill="1" applyBorder="1" applyAlignment="1">
      <alignment horizontal="right" vertical="center"/>
    </xf>
    <xf numFmtId="167" fontId="2" fillId="14" borderId="1" xfId="4" applyFont="1" applyFill="1" applyBorder="1" applyAlignment="1">
      <alignment horizontal="right" vertical="center"/>
    </xf>
    <xf numFmtId="9" fontId="2" fillId="14" borderId="1" xfId="3" applyFont="1" applyFill="1" applyBorder="1" applyAlignment="1">
      <alignment horizontal="right" vertical="center"/>
    </xf>
    <xf numFmtId="9" fontId="2" fillId="15" borderId="2" xfId="3" applyFont="1" applyFill="1" applyBorder="1" applyAlignment="1">
      <alignment horizontal="right" vertical="center"/>
    </xf>
    <xf numFmtId="9" fontId="2" fillId="15" borderId="13" xfId="3" applyFont="1" applyFill="1" applyBorder="1" applyAlignment="1">
      <alignment horizontal="right" vertical="center"/>
    </xf>
    <xf numFmtId="9" fontId="2" fillId="15" borderId="9" xfId="3" applyFont="1" applyFill="1" applyBorder="1" applyAlignment="1">
      <alignment horizontal="right" vertical="center"/>
    </xf>
    <xf numFmtId="0" fontId="2" fillId="14" borderId="1" xfId="3" applyNumberFormat="1" applyFont="1" applyFill="1" applyBorder="1" applyAlignment="1">
      <alignment horizontal="right" vertical="center"/>
    </xf>
    <xf numFmtId="9" fontId="2" fillId="14" borderId="2" xfId="3" applyFont="1" applyFill="1" applyBorder="1" applyAlignment="1">
      <alignment horizontal="right" vertical="center"/>
    </xf>
    <xf numFmtId="9" fontId="2" fillId="14" borderId="9" xfId="3" applyFont="1" applyFill="1" applyBorder="1" applyAlignment="1">
      <alignment horizontal="right" vertical="center"/>
    </xf>
    <xf numFmtId="9" fontId="2" fillId="14" borderId="13" xfId="3" applyFont="1" applyFill="1" applyBorder="1" applyAlignment="1">
      <alignment horizontal="right" vertical="center"/>
    </xf>
    <xf numFmtId="0" fontId="2" fillId="14" borderId="1" xfId="4" applyNumberFormat="1" applyFont="1" applyFill="1" applyBorder="1" applyAlignment="1">
      <alignment horizontal="right" vertical="center"/>
    </xf>
    <xf numFmtId="9" fontId="2" fillId="15" borderId="1" xfId="3" applyFont="1" applyFill="1" applyBorder="1" applyAlignment="1">
      <alignment horizontal="center" vertical="center"/>
    </xf>
    <xf numFmtId="9" fontId="2" fillId="15" borderId="2" xfId="3" applyFont="1" applyFill="1" applyBorder="1" applyAlignment="1">
      <alignment horizontal="center" vertical="center"/>
    </xf>
    <xf numFmtId="9" fontId="2" fillId="15" borderId="13" xfId="3" applyFont="1" applyFill="1" applyBorder="1" applyAlignment="1">
      <alignment horizontal="center" vertical="center"/>
    </xf>
    <xf numFmtId="9" fontId="2" fillId="15" borderId="9" xfId="3" applyFont="1" applyFill="1" applyBorder="1" applyAlignment="1">
      <alignment horizontal="center" vertical="center"/>
    </xf>
    <xf numFmtId="0" fontId="2" fillId="14" borderId="2" xfId="3" applyNumberFormat="1" applyFont="1" applyFill="1" applyBorder="1" applyAlignment="1">
      <alignment horizontal="right" vertical="center"/>
    </xf>
    <xf numFmtId="0" fontId="2" fillId="14" borderId="13" xfId="3" applyNumberFormat="1" applyFont="1" applyFill="1" applyBorder="1" applyAlignment="1">
      <alignment horizontal="right" vertical="center"/>
    </xf>
    <xf numFmtId="0" fontId="2" fillId="14" borderId="9" xfId="3" applyNumberFormat="1" applyFont="1" applyFill="1" applyBorder="1" applyAlignment="1">
      <alignment horizontal="right" vertical="center"/>
    </xf>
    <xf numFmtId="0" fontId="4" fillId="0" borderId="2" xfId="1" applyNumberFormat="1" applyFont="1" applyFill="1" applyBorder="1" applyAlignment="1">
      <alignment horizontal="center" vertical="center" wrapText="1"/>
    </xf>
    <xf numFmtId="0" fontId="4" fillId="0" borderId="13" xfId="1" applyNumberFormat="1" applyFont="1" applyFill="1" applyBorder="1" applyAlignment="1">
      <alignment horizontal="center" vertical="center" wrapText="1"/>
    </xf>
    <xf numFmtId="0" fontId="4" fillId="0" borderId="9" xfId="1" applyNumberFormat="1" applyFont="1" applyFill="1" applyBorder="1" applyAlignment="1">
      <alignment horizontal="center" vertical="center" wrapText="1"/>
    </xf>
    <xf numFmtId="0" fontId="2" fillId="0" borderId="2" xfId="0" applyFont="1" applyFill="1" applyBorder="1" applyAlignment="1">
      <alignment horizontal="center" vertical="center" wrapText="1" readingOrder="1"/>
    </xf>
    <xf numFmtId="0" fontId="2" fillId="0" borderId="13" xfId="0" applyFont="1" applyFill="1" applyBorder="1" applyAlignment="1">
      <alignment horizontal="center" vertical="center" wrapText="1" readingOrder="1"/>
    </xf>
    <xf numFmtId="0" fontId="2" fillId="0" borderId="9" xfId="0" applyFont="1" applyFill="1" applyBorder="1" applyAlignment="1">
      <alignment horizontal="center" vertical="center" wrapText="1" readingOrder="1"/>
    </xf>
    <xf numFmtId="0" fontId="9" fillId="0" borderId="13"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2" fillId="14" borderId="2" xfId="0" applyFont="1" applyFill="1" applyBorder="1" applyAlignment="1">
      <alignment horizontal="right" vertical="center"/>
    </xf>
    <xf numFmtId="0" fontId="2" fillId="14" borderId="13" xfId="0" applyFont="1" applyFill="1" applyBorder="1" applyAlignment="1">
      <alignment horizontal="right" vertical="center"/>
    </xf>
    <xf numFmtId="0" fontId="2" fillId="14" borderId="9" xfId="0" applyFont="1" applyFill="1" applyBorder="1" applyAlignment="1">
      <alignment horizontal="right" vertical="center"/>
    </xf>
    <xf numFmtId="0" fontId="2" fillId="0" borderId="1" xfId="0" applyFont="1" applyFill="1" applyBorder="1" applyAlignment="1">
      <alignment horizontal="center" vertical="center" wrapText="1"/>
    </xf>
    <xf numFmtId="168" fontId="2" fillId="14" borderId="2" xfId="3" applyNumberFormat="1" applyFont="1" applyFill="1" applyBorder="1" applyAlignment="1">
      <alignment horizontal="right" vertical="center"/>
    </xf>
    <xf numFmtId="1" fontId="2" fillId="14" borderId="2" xfId="4" applyNumberFormat="1" applyFont="1" applyFill="1" applyBorder="1" applyAlignment="1">
      <alignment horizontal="right" vertical="center"/>
    </xf>
    <xf numFmtId="1" fontId="2" fillId="14" borderId="13" xfId="4" applyNumberFormat="1" applyFont="1" applyFill="1" applyBorder="1" applyAlignment="1">
      <alignment horizontal="right" vertical="center"/>
    </xf>
    <xf numFmtId="1" fontId="2" fillId="14" borderId="9" xfId="4" applyNumberFormat="1" applyFont="1" applyFill="1" applyBorder="1" applyAlignment="1">
      <alignment horizontal="right" vertical="center"/>
    </xf>
    <xf numFmtId="1" fontId="2" fillId="14" borderId="1" xfId="4" applyNumberFormat="1" applyFont="1" applyFill="1" applyBorder="1" applyAlignment="1">
      <alignment horizontal="right" vertical="center"/>
    </xf>
    <xf numFmtId="0" fontId="2" fillId="14" borderId="2" xfId="4" applyNumberFormat="1" applyFont="1" applyFill="1" applyBorder="1" applyAlignment="1">
      <alignment horizontal="right" vertical="center"/>
    </xf>
    <xf numFmtId="0" fontId="2" fillId="14" borderId="13" xfId="4" applyNumberFormat="1" applyFont="1" applyFill="1" applyBorder="1" applyAlignment="1">
      <alignment horizontal="right" vertical="center"/>
    </xf>
    <xf numFmtId="0" fontId="2" fillId="14" borderId="9" xfId="4" applyNumberFormat="1" applyFont="1" applyFill="1" applyBorder="1" applyAlignment="1">
      <alignment horizontal="right" vertical="center"/>
    </xf>
    <xf numFmtId="9" fontId="2" fillId="14" borderId="2" xfId="3" applyFont="1" applyFill="1" applyBorder="1" applyAlignment="1">
      <alignment horizontal="right" vertical="center" wrapText="1"/>
    </xf>
    <xf numFmtId="9" fontId="2" fillId="14" borderId="13" xfId="3" applyFont="1" applyFill="1" applyBorder="1" applyAlignment="1">
      <alignment horizontal="right" vertical="center" wrapText="1"/>
    </xf>
    <xf numFmtId="9" fontId="2" fillId="14" borderId="9" xfId="3" applyFont="1" applyFill="1" applyBorder="1" applyAlignment="1">
      <alignment horizontal="right" vertical="center" wrapText="1"/>
    </xf>
    <xf numFmtId="9" fontId="2" fillId="15" borderId="1" xfId="3" applyFont="1" applyFill="1" applyBorder="1" applyAlignment="1">
      <alignment horizontal="right" vertical="center"/>
    </xf>
    <xf numFmtId="167" fontId="2" fillId="13" borderId="2" xfId="4" applyFont="1" applyFill="1" applyBorder="1" applyAlignment="1">
      <alignment horizontal="right" vertical="center"/>
    </xf>
    <xf numFmtId="167" fontId="2" fillId="13" borderId="13" xfId="4" applyFont="1" applyFill="1" applyBorder="1" applyAlignment="1">
      <alignment horizontal="right" vertical="center"/>
    </xf>
    <xf numFmtId="167" fontId="2" fillId="13" borderId="9" xfId="4" applyFont="1" applyFill="1" applyBorder="1" applyAlignment="1">
      <alignment horizontal="right" vertical="center"/>
    </xf>
    <xf numFmtId="0" fontId="2" fillId="13" borderId="1" xfId="3" applyNumberFormat="1" applyFont="1" applyFill="1" applyBorder="1" applyAlignment="1">
      <alignment horizontal="right" vertical="center"/>
    </xf>
    <xf numFmtId="167" fontId="2" fillId="13" borderId="1" xfId="4" applyFont="1" applyFill="1" applyBorder="1" applyAlignment="1">
      <alignment horizontal="right" vertical="center"/>
    </xf>
    <xf numFmtId="0" fontId="2" fillId="13" borderId="2" xfId="3" applyNumberFormat="1" applyFont="1" applyFill="1" applyBorder="1" applyAlignment="1">
      <alignment horizontal="right" vertical="center"/>
    </xf>
    <xf numFmtId="0" fontId="2" fillId="13" borderId="13" xfId="3" applyNumberFormat="1" applyFont="1" applyFill="1" applyBorder="1" applyAlignment="1">
      <alignment horizontal="right" vertical="center"/>
    </xf>
    <xf numFmtId="0" fontId="2" fillId="13" borderId="9" xfId="3" applyNumberFormat="1" applyFont="1" applyFill="1" applyBorder="1" applyAlignment="1">
      <alignment horizontal="right" vertical="center"/>
    </xf>
    <xf numFmtId="0" fontId="5" fillId="4" borderId="2"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9" xfId="0" applyFont="1" applyFill="1" applyBorder="1" applyAlignment="1">
      <alignment horizontal="center" vertical="center"/>
    </xf>
    <xf numFmtId="167" fontId="5" fillId="4" borderId="2" xfId="4" applyFont="1" applyFill="1" applyBorder="1" applyAlignment="1">
      <alignment horizontal="center" vertical="center"/>
    </xf>
    <xf numFmtId="167" fontId="5" fillId="4" borderId="9" xfId="4" applyFont="1" applyFill="1" applyBorder="1" applyAlignment="1">
      <alignment horizontal="center" vertical="center"/>
    </xf>
    <xf numFmtId="170" fontId="5" fillId="4" borderId="2" xfId="2" applyNumberFormat="1" applyFont="1" applyFill="1" applyBorder="1" applyAlignment="1">
      <alignment horizontal="center" vertical="center"/>
    </xf>
    <xf numFmtId="170" fontId="5" fillId="4" borderId="13" xfId="2" applyNumberFormat="1" applyFont="1" applyFill="1" applyBorder="1" applyAlignment="1">
      <alignment horizontal="center" vertical="center"/>
    </xf>
    <xf numFmtId="170" fontId="5" fillId="4" borderId="9" xfId="2" applyNumberFormat="1" applyFont="1" applyFill="1" applyBorder="1" applyAlignment="1">
      <alignment horizontal="center" vertical="center"/>
    </xf>
    <xf numFmtId="0" fontId="2" fillId="8" borderId="2" xfId="0" applyFont="1" applyFill="1" applyBorder="1" applyAlignment="1">
      <alignment horizontal="center" vertical="center"/>
    </xf>
    <xf numFmtId="0" fontId="2" fillId="8" borderId="13" xfId="0" applyFont="1" applyFill="1" applyBorder="1" applyAlignment="1">
      <alignment horizontal="center" vertical="center"/>
    </xf>
    <xf numFmtId="0" fontId="2" fillId="8" borderId="9" xfId="0" applyFont="1" applyFill="1" applyBorder="1" applyAlignment="1">
      <alignment horizontal="center" vertical="center"/>
    </xf>
    <xf numFmtId="9" fontId="4" fillId="7" borderId="2" xfId="3" applyFont="1" applyFill="1" applyBorder="1" applyAlignment="1">
      <alignment horizontal="center" vertical="center"/>
    </xf>
    <xf numFmtId="9" fontId="4" fillId="7" borderId="13" xfId="3" applyFont="1" applyFill="1" applyBorder="1" applyAlignment="1">
      <alignment horizontal="center" vertical="center"/>
    </xf>
    <xf numFmtId="9" fontId="4" fillId="7" borderId="9" xfId="3" applyFont="1" applyFill="1" applyBorder="1" applyAlignment="1">
      <alignment horizontal="center" vertical="center"/>
    </xf>
    <xf numFmtId="1" fontId="4" fillId="7" borderId="2" xfId="3" applyNumberFormat="1" applyFont="1" applyFill="1" applyBorder="1" applyAlignment="1">
      <alignment horizontal="center" vertical="center"/>
    </xf>
    <xf numFmtId="0" fontId="0" fillId="7" borderId="13" xfId="0" applyFill="1" applyBorder="1"/>
    <xf numFmtId="0" fontId="0" fillId="7" borderId="9" xfId="0" applyFill="1" applyBorder="1"/>
    <xf numFmtId="168" fontId="4" fillId="7" borderId="2" xfId="1" applyNumberFormat="1" applyFont="1" applyFill="1" applyBorder="1" applyAlignment="1">
      <alignment horizontal="center" vertical="center"/>
    </xf>
    <xf numFmtId="168" fontId="4" fillId="7" borderId="9" xfId="1" applyNumberFormat="1" applyFont="1" applyFill="1" applyBorder="1" applyAlignment="1">
      <alignment horizontal="center" vertical="center"/>
    </xf>
    <xf numFmtId="0" fontId="2" fillId="4" borderId="2"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9"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13" xfId="0" applyFont="1" applyFill="1" applyBorder="1" applyAlignment="1">
      <alignment horizontal="center" vertical="center"/>
    </xf>
    <xf numFmtId="0" fontId="2" fillId="7" borderId="9" xfId="0" applyFont="1" applyFill="1" applyBorder="1" applyAlignment="1">
      <alignment horizontal="center" vertical="center"/>
    </xf>
    <xf numFmtId="0" fontId="4" fillId="7" borderId="2" xfId="0" applyFont="1" applyFill="1" applyBorder="1" applyAlignment="1">
      <alignment horizontal="center" vertical="center"/>
    </xf>
    <xf numFmtId="0" fontId="4" fillId="7" borderId="13" xfId="0" applyFont="1" applyFill="1" applyBorder="1" applyAlignment="1">
      <alignment horizontal="center" vertical="center"/>
    </xf>
    <xf numFmtId="0" fontId="4" fillId="7" borderId="9" xfId="0" applyFont="1" applyFill="1" applyBorder="1" applyAlignment="1">
      <alignment horizontal="center" vertical="center"/>
    </xf>
    <xf numFmtId="168" fontId="2" fillId="8" borderId="2" xfId="1" applyNumberFormat="1" applyFont="1" applyFill="1" applyBorder="1" applyAlignment="1">
      <alignment horizontal="center" vertical="center"/>
    </xf>
    <xf numFmtId="168" fontId="2" fillId="8" borderId="13" xfId="1" applyNumberFormat="1" applyFont="1" applyFill="1" applyBorder="1" applyAlignment="1">
      <alignment horizontal="center" vertical="center"/>
    </xf>
    <xf numFmtId="168" fontId="2" fillId="8" borderId="9" xfId="1" applyNumberFormat="1" applyFont="1" applyFill="1" applyBorder="1" applyAlignment="1">
      <alignment horizontal="center" vertical="center"/>
    </xf>
    <xf numFmtId="3" fontId="2" fillId="8" borderId="2" xfId="0" applyNumberFormat="1" applyFont="1" applyFill="1" applyBorder="1" applyAlignment="1">
      <alignment horizontal="center" vertical="center" wrapText="1"/>
    </xf>
    <xf numFmtId="168" fontId="2" fillId="8" borderId="2" xfId="1" applyNumberFormat="1" applyFont="1" applyFill="1" applyBorder="1" applyAlignment="1">
      <alignment horizontal="center" vertical="center" wrapText="1"/>
    </xf>
    <xf numFmtId="168" fontId="2" fillId="8" borderId="13" xfId="1" applyNumberFormat="1" applyFont="1" applyFill="1" applyBorder="1" applyAlignment="1">
      <alignment horizontal="center" vertical="center" wrapText="1"/>
    </xf>
    <xf numFmtId="168" fontId="2" fillId="8" borderId="9" xfId="1"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13" xfId="0" applyNumberFormat="1" applyFont="1" applyFill="1" applyBorder="1" applyAlignment="1">
      <alignment horizontal="center" vertical="center" wrapText="1"/>
    </xf>
    <xf numFmtId="3" fontId="2" fillId="0" borderId="9" xfId="0" applyNumberFormat="1" applyFont="1" applyFill="1" applyBorder="1" applyAlignment="1">
      <alignment horizontal="center" vertical="center" wrapText="1"/>
    </xf>
    <xf numFmtId="3" fontId="2" fillId="4" borderId="2" xfId="0" applyNumberFormat="1" applyFont="1" applyFill="1" applyBorder="1" applyAlignment="1">
      <alignment horizontal="center" vertical="center"/>
    </xf>
    <xf numFmtId="3" fontId="2" fillId="4" borderId="13" xfId="0" applyNumberFormat="1" applyFont="1" applyFill="1" applyBorder="1" applyAlignment="1">
      <alignment horizontal="center" vertical="center"/>
    </xf>
    <xf numFmtId="3" fontId="2" fillId="4" borderId="9" xfId="0" applyNumberFormat="1" applyFont="1" applyFill="1" applyBorder="1" applyAlignment="1">
      <alignment horizontal="center" vertical="center"/>
    </xf>
    <xf numFmtId="3" fontId="2" fillId="8" borderId="1" xfId="0" applyNumberFormat="1" applyFont="1" applyFill="1" applyBorder="1" applyAlignment="1">
      <alignment horizontal="center" vertical="center" wrapText="1"/>
    </xf>
    <xf numFmtId="1" fontId="4" fillId="7" borderId="13" xfId="3" applyNumberFormat="1" applyFont="1" applyFill="1" applyBorder="1" applyAlignment="1">
      <alignment horizontal="center" vertical="center"/>
    </xf>
    <xf numFmtId="1" fontId="4" fillId="7" borderId="9" xfId="3" applyNumberFormat="1" applyFont="1" applyFill="1" applyBorder="1" applyAlignment="1">
      <alignment horizontal="center" vertical="center"/>
    </xf>
    <xf numFmtId="9" fontId="2" fillId="7" borderId="2" xfId="3" applyFont="1" applyFill="1" applyBorder="1" applyAlignment="1">
      <alignment horizontal="right" vertical="center"/>
    </xf>
    <xf numFmtId="9" fontId="2" fillId="7" borderId="13" xfId="3" applyFont="1" applyFill="1" applyBorder="1" applyAlignment="1">
      <alignment horizontal="right" vertical="center"/>
    </xf>
    <xf numFmtId="9" fontId="2" fillId="7" borderId="9" xfId="3" applyFont="1" applyFill="1" applyBorder="1" applyAlignment="1">
      <alignment horizontal="right" vertical="center"/>
    </xf>
    <xf numFmtId="168" fontId="4" fillId="7" borderId="13" xfId="1" applyNumberFormat="1" applyFont="1" applyFill="1" applyBorder="1" applyAlignment="1">
      <alignment horizontal="center" vertical="center"/>
    </xf>
    <xf numFmtId="9" fontId="4" fillId="7" borderId="2" xfId="3" applyFont="1" applyFill="1" applyBorder="1" applyAlignment="1">
      <alignment horizontal="right" vertical="center"/>
    </xf>
    <xf numFmtId="9" fontId="4" fillId="7" borderId="13" xfId="3" applyFont="1" applyFill="1" applyBorder="1" applyAlignment="1">
      <alignment horizontal="right" vertical="center"/>
    </xf>
    <xf numFmtId="9" fontId="4" fillId="7" borderId="9" xfId="3" applyFont="1" applyFill="1" applyBorder="1" applyAlignment="1">
      <alignment horizontal="right" vertical="center"/>
    </xf>
    <xf numFmtId="9" fontId="4" fillId="7" borderId="1" xfId="3" applyFont="1" applyFill="1" applyBorder="1" applyAlignment="1">
      <alignment horizontal="right" vertical="center"/>
    </xf>
    <xf numFmtId="3" fontId="4" fillId="7" borderId="2" xfId="0" applyNumberFormat="1" applyFont="1" applyFill="1" applyBorder="1" applyAlignment="1">
      <alignment horizontal="center" vertical="center"/>
    </xf>
    <xf numFmtId="0" fontId="0" fillId="7" borderId="13" xfId="0" applyFill="1" applyBorder="1" applyAlignment="1">
      <alignment horizontal="center" vertical="center"/>
    </xf>
    <xf numFmtId="0" fontId="0" fillId="7" borderId="9" xfId="0" applyFill="1" applyBorder="1" applyAlignment="1">
      <alignment horizontal="center" vertical="center"/>
    </xf>
    <xf numFmtId="0" fontId="3" fillId="4" borderId="2"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2" fillId="0" borderId="1" xfId="0" applyFont="1" applyBorder="1" applyAlignment="1">
      <alignment horizontal="center"/>
    </xf>
    <xf numFmtId="0" fontId="2" fillId="0" borderId="1" xfId="0" applyFont="1" applyFill="1" applyBorder="1" applyAlignment="1">
      <alignment horizontal="center"/>
    </xf>
    <xf numFmtId="0" fontId="3" fillId="3" borderId="2"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2" fillId="8" borderId="13" xfId="0" applyFont="1" applyFill="1" applyBorder="1"/>
    <xf numFmtId="0" fontId="2" fillId="8" borderId="9" xfId="0" applyFont="1" applyFill="1" applyBorder="1"/>
    <xf numFmtId="0" fontId="4" fillId="8" borderId="2"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8" borderId="9" xfId="0" applyFont="1" applyFill="1" applyBorder="1" applyAlignment="1">
      <alignment horizontal="center" vertical="center" wrapText="1"/>
    </xf>
    <xf numFmtId="168" fontId="2" fillId="7" borderId="2" xfId="1" applyNumberFormat="1" applyFont="1" applyFill="1" applyBorder="1" applyAlignment="1">
      <alignment horizontal="center" vertical="center"/>
    </xf>
    <xf numFmtId="168" fontId="2" fillId="7" borderId="13" xfId="1" applyNumberFormat="1" applyFont="1" applyFill="1" applyBorder="1" applyAlignment="1">
      <alignment horizontal="center" vertical="center"/>
    </xf>
    <xf numFmtId="168" fontId="2" fillId="7" borderId="9" xfId="1" applyNumberFormat="1" applyFont="1" applyFill="1" applyBorder="1" applyAlignment="1">
      <alignment horizontal="center" vertical="center"/>
    </xf>
    <xf numFmtId="3" fontId="2" fillId="7" borderId="2" xfId="0" applyNumberFormat="1" applyFont="1" applyFill="1" applyBorder="1" applyAlignment="1">
      <alignment horizontal="center" vertical="center"/>
    </xf>
    <xf numFmtId="3" fontId="2" fillId="7" borderId="13" xfId="0" applyNumberFormat="1" applyFont="1" applyFill="1" applyBorder="1" applyAlignment="1">
      <alignment horizontal="center" vertical="center"/>
    </xf>
    <xf numFmtId="3" fontId="2" fillId="7" borderId="9" xfId="0" applyNumberFormat="1" applyFont="1" applyFill="1" applyBorder="1" applyAlignment="1">
      <alignment horizontal="center" vertical="center"/>
    </xf>
    <xf numFmtId="0" fontId="2" fillId="8" borderId="2" xfId="0" applyFont="1" applyFill="1" applyBorder="1" applyAlignment="1">
      <alignment horizontal="left" vertical="center" wrapText="1"/>
    </xf>
    <xf numFmtId="0" fontId="2" fillId="8" borderId="13" xfId="0" applyFont="1" applyFill="1" applyBorder="1" applyAlignment="1">
      <alignment horizontal="left" vertical="center" wrapText="1"/>
    </xf>
    <xf numFmtId="0" fontId="2" fillId="8" borderId="9" xfId="0" applyFont="1" applyFill="1" applyBorder="1" applyAlignment="1">
      <alignment horizontal="left" vertical="center" wrapText="1"/>
    </xf>
    <xf numFmtId="0" fontId="2" fillId="8" borderId="1"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9" xfId="0" applyFill="1" applyBorder="1" applyAlignment="1">
      <alignment horizontal="center" vertical="center" wrapText="1"/>
    </xf>
    <xf numFmtId="0" fontId="3" fillId="0" borderId="1" xfId="0" applyFont="1" applyFill="1" applyBorder="1" applyAlignment="1">
      <alignment horizontal="center" vertical="center" wrapText="1"/>
    </xf>
    <xf numFmtId="0" fontId="4" fillId="8" borderId="2" xfId="0" applyFont="1" applyFill="1" applyBorder="1" applyAlignment="1">
      <alignment horizontal="left" vertical="center" wrapText="1"/>
    </xf>
    <xf numFmtId="0" fontId="4" fillId="8" borderId="13" xfId="0" applyFont="1" applyFill="1" applyBorder="1" applyAlignment="1">
      <alignment horizontal="left" vertical="center" wrapText="1"/>
    </xf>
    <xf numFmtId="0" fontId="4" fillId="8" borderId="9" xfId="0" applyFont="1" applyFill="1" applyBorder="1" applyAlignment="1">
      <alignment horizontal="left" vertical="center" wrapText="1"/>
    </xf>
    <xf numFmtId="3" fontId="2" fillId="0" borderId="2" xfId="0" applyNumberFormat="1" applyFont="1" applyFill="1" applyBorder="1" applyAlignment="1">
      <alignment horizontal="center" vertical="center"/>
    </xf>
    <xf numFmtId="0" fontId="2" fillId="0" borderId="13" xfId="0" applyFont="1" applyFill="1" applyBorder="1" applyAlignment="1">
      <alignment horizontal="center" vertical="center"/>
    </xf>
    <xf numFmtId="0" fontId="2" fillId="0" borderId="9" xfId="0" applyFont="1" applyFill="1" applyBorder="1" applyAlignment="1">
      <alignment horizontal="center" vertical="center"/>
    </xf>
    <xf numFmtId="168" fontId="2" fillId="4" borderId="2" xfId="1" applyNumberFormat="1" applyFont="1" applyFill="1" applyBorder="1" applyAlignment="1">
      <alignment horizontal="center" vertical="center"/>
    </xf>
    <xf numFmtId="168" fontId="2" fillId="4" borderId="13" xfId="1" applyNumberFormat="1" applyFont="1" applyFill="1" applyBorder="1" applyAlignment="1">
      <alignment horizontal="center" vertical="center"/>
    </xf>
    <xf numFmtId="168" fontId="2" fillId="4" borderId="9" xfId="1" applyNumberFormat="1" applyFont="1" applyFill="1" applyBorder="1" applyAlignment="1">
      <alignment horizontal="center" vertical="center"/>
    </xf>
    <xf numFmtId="169" fontId="2" fillId="8" borderId="2" xfId="1" applyNumberFormat="1" applyFont="1" applyFill="1" applyBorder="1" applyAlignment="1">
      <alignment horizontal="center" vertical="center" wrapText="1"/>
    </xf>
    <xf numFmtId="169" fontId="2" fillId="8" borderId="13" xfId="1" applyNumberFormat="1" applyFont="1" applyFill="1" applyBorder="1" applyAlignment="1">
      <alignment horizontal="center" vertical="center" wrapText="1"/>
    </xf>
    <xf numFmtId="169" fontId="2" fillId="8" borderId="9" xfId="1" applyNumberFormat="1" applyFont="1" applyFill="1" applyBorder="1" applyAlignment="1">
      <alignment horizontal="center" vertical="center" wrapText="1"/>
    </xf>
    <xf numFmtId="168" fontId="2" fillId="0" borderId="2" xfId="1" applyNumberFormat="1" applyFont="1" applyFill="1" applyBorder="1" applyAlignment="1">
      <alignment horizontal="center" vertical="center" wrapText="1"/>
    </xf>
    <xf numFmtId="168" fontId="2" fillId="0" borderId="13" xfId="1" applyNumberFormat="1" applyFont="1" applyFill="1" applyBorder="1" applyAlignment="1">
      <alignment horizontal="center" vertical="center" wrapText="1"/>
    </xf>
    <xf numFmtId="168" fontId="2" fillId="0" borderId="9" xfId="1" applyNumberFormat="1" applyFont="1" applyFill="1" applyBorder="1" applyAlignment="1">
      <alignment horizontal="center" vertical="center" wrapText="1"/>
    </xf>
    <xf numFmtId="9" fontId="2" fillId="8" borderId="2" xfId="3" applyFont="1" applyFill="1" applyBorder="1" applyAlignment="1">
      <alignment horizontal="center" vertical="center" wrapText="1"/>
    </xf>
    <xf numFmtId="9" fontId="2" fillId="8" borderId="13" xfId="3" applyFont="1" applyFill="1" applyBorder="1" applyAlignment="1">
      <alignment horizontal="center" vertical="center" wrapText="1"/>
    </xf>
    <xf numFmtId="9" fontId="2" fillId="8" borderId="9" xfId="3" applyFont="1" applyFill="1" applyBorder="1" applyAlignment="1">
      <alignment horizontal="center" vertical="center" wrapText="1"/>
    </xf>
    <xf numFmtId="3" fontId="4" fillId="8"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xf>
    <xf numFmtId="3" fontId="2" fillId="7" borderId="1" xfId="0" applyNumberFormat="1" applyFont="1" applyFill="1" applyBorder="1" applyAlignment="1">
      <alignment horizontal="center" vertical="center"/>
    </xf>
    <xf numFmtId="9" fontId="4" fillId="7" borderId="1" xfId="3" applyFont="1" applyFill="1" applyBorder="1" applyAlignment="1">
      <alignment horizontal="center" vertical="center"/>
    </xf>
    <xf numFmtId="3" fontId="2" fillId="8" borderId="1" xfId="0" applyNumberFormat="1" applyFont="1" applyFill="1" applyBorder="1" applyAlignment="1">
      <alignment horizontal="center" vertical="center"/>
    </xf>
    <xf numFmtId="0" fontId="2" fillId="8" borderId="1" xfId="0" applyFont="1" applyFill="1" applyBorder="1" applyAlignment="1">
      <alignment horizontal="center" vertical="center"/>
    </xf>
    <xf numFmtId="3" fontId="4" fillId="8" borderId="2" xfId="0" applyNumberFormat="1" applyFont="1" applyFill="1" applyBorder="1" applyAlignment="1">
      <alignment horizontal="center" vertical="center" wrapText="1"/>
    </xf>
    <xf numFmtId="3" fontId="4" fillId="8" borderId="13" xfId="0" applyNumberFormat="1" applyFont="1" applyFill="1" applyBorder="1" applyAlignment="1">
      <alignment horizontal="center" vertical="center" wrapText="1"/>
    </xf>
    <xf numFmtId="3" fontId="4" fillId="8" borderId="9" xfId="0" applyNumberFormat="1" applyFont="1" applyFill="1" applyBorder="1" applyAlignment="1">
      <alignment horizontal="center" vertical="center" wrapText="1"/>
    </xf>
    <xf numFmtId="3" fontId="2" fillId="8" borderId="13" xfId="0" applyNumberFormat="1" applyFont="1" applyFill="1" applyBorder="1" applyAlignment="1">
      <alignment horizontal="center" vertical="center" wrapText="1"/>
    </xf>
    <xf numFmtId="3" fontId="2" fillId="8" borderId="9" xfId="0" applyNumberFormat="1" applyFont="1" applyFill="1" applyBorder="1" applyAlignment="1">
      <alignment horizontal="center" vertical="center" wrapText="1"/>
    </xf>
    <xf numFmtId="3" fontId="2" fillId="8" borderId="2" xfId="0" applyNumberFormat="1" applyFont="1" applyFill="1" applyBorder="1" applyAlignment="1">
      <alignment horizontal="center" vertical="center"/>
    </xf>
    <xf numFmtId="3" fontId="2" fillId="8" borderId="13" xfId="0" applyNumberFormat="1" applyFont="1" applyFill="1" applyBorder="1" applyAlignment="1">
      <alignment horizontal="center" vertical="center"/>
    </xf>
    <xf numFmtId="3" fontId="2" fillId="8" borderId="9" xfId="0" applyNumberFormat="1" applyFont="1" applyFill="1" applyBorder="1" applyAlignment="1">
      <alignment horizontal="center" vertical="center"/>
    </xf>
    <xf numFmtId="1" fontId="2" fillId="13" borderId="2" xfId="4" applyNumberFormat="1" applyFont="1" applyFill="1" applyBorder="1" applyAlignment="1">
      <alignment horizontal="right" vertical="center"/>
    </xf>
    <xf numFmtId="1" fontId="2" fillId="13" borderId="13" xfId="4" applyNumberFormat="1" applyFont="1" applyFill="1" applyBorder="1" applyAlignment="1">
      <alignment horizontal="right" vertical="center"/>
    </xf>
    <xf numFmtId="1" fontId="2" fillId="13" borderId="9" xfId="4" applyNumberFormat="1" applyFont="1" applyFill="1" applyBorder="1" applyAlignment="1">
      <alignment horizontal="right" vertical="center"/>
    </xf>
    <xf numFmtId="168" fontId="2" fillId="13" borderId="1" xfId="3" applyNumberFormat="1" applyFont="1" applyFill="1" applyBorder="1" applyAlignment="1">
      <alignment horizontal="right" vertical="center"/>
    </xf>
    <xf numFmtId="9" fontId="2" fillId="13" borderId="1" xfId="3" applyFont="1" applyFill="1" applyBorder="1" applyAlignment="1">
      <alignment horizontal="right" vertical="center"/>
    </xf>
    <xf numFmtId="1" fontId="4" fillId="4" borderId="2" xfId="3" applyNumberFormat="1" applyFont="1" applyFill="1" applyBorder="1" applyAlignment="1">
      <alignment horizontal="right" vertical="center"/>
    </xf>
    <xf numFmtId="0" fontId="0" fillId="4" borderId="13" xfId="0" applyFill="1" applyBorder="1" applyAlignment="1">
      <alignment horizontal="right"/>
    </xf>
    <xf numFmtId="0" fontId="0" fillId="4" borderId="9" xfId="0" applyFill="1" applyBorder="1" applyAlignment="1">
      <alignment horizontal="right"/>
    </xf>
    <xf numFmtId="0" fontId="2" fillId="8" borderId="3" xfId="0" applyFont="1" applyFill="1" applyBorder="1" applyAlignment="1">
      <alignment horizontal="center" vertical="center"/>
    </xf>
    <xf numFmtId="0" fontId="2" fillId="8" borderId="4" xfId="0" applyFont="1" applyFill="1" applyBorder="1" applyAlignment="1">
      <alignment horizontal="center" vertical="center"/>
    </xf>
    <xf numFmtId="0" fontId="2" fillId="8" borderId="5" xfId="0" applyFont="1" applyFill="1" applyBorder="1" applyAlignment="1">
      <alignment horizontal="center" vertical="center"/>
    </xf>
    <xf numFmtId="0" fontId="2" fillId="8" borderId="14" xfId="0" applyFont="1" applyFill="1" applyBorder="1" applyAlignment="1">
      <alignment horizontal="center" vertical="center"/>
    </xf>
    <xf numFmtId="0" fontId="2" fillId="8" borderId="0" xfId="0" applyFont="1" applyFill="1" applyBorder="1" applyAlignment="1">
      <alignment horizontal="center" vertical="center"/>
    </xf>
    <xf numFmtId="0" fontId="2" fillId="8" borderId="15" xfId="0" applyFont="1" applyFill="1" applyBorder="1" applyAlignment="1">
      <alignment horizontal="center" vertical="center"/>
    </xf>
    <xf numFmtId="0" fontId="2" fillId="8" borderId="10" xfId="0" applyFont="1" applyFill="1" applyBorder="1" applyAlignment="1">
      <alignment horizontal="center" vertical="center"/>
    </xf>
    <xf numFmtId="0" fontId="2" fillId="8" borderId="11" xfId="0" applyFont="1" applyFill="1" applyBorder="1" applyAlignment="1">
      <alignment horizontal="center" vertical="center"/>
    </xf>
    <xf numFmtId="0" fontId="2" fillId="8" borderId="12" xfId="0" applyFont="1" applyFill="1" applyBorder="1" applyAlignment="1">
      <alignment horizontal="center" vertical="center"/>
    </xf>
    <xf numFmtId="9" fontId="2" fillId="15" borderId="2" xfId="3" applyFont="1" applyFill="1" applyBorder="1" applyAlignment="1">
      <alignment horizontal="right" vertical="center" wrapText="1"/>
    </xf>
    <xf numFmtId="9" fontId="2" fillId="15" borderId="13" xfId="3" applyFont="1" applyFill="1" applyBorder="1" applyAlignment="1">
      <alignment horizontal="right" vertical="center" wrapText="1"/>
    </xf>
    <xf numFmtId="9" fontId="2" fillId="15" borderId="9" xfId="3" applyFont="1" applyFill="1" applyBorder="1" applyAlignment="1">
      <alignment horizontal="right" vertical="center" wrapText="1"/>
    </xf>
    <xf numFmtId="3" fontId="4" fillId="7" borderId="13" xfId="0" applyNumberFormat="1" applyFont="1" applyFill="1" applyBorder="1" applyAlignment="1">
      <alignment horizontal="center" vertical="center"/>
    </xf>
    <xf numFmtId="3" fontId="4" fillId="7" borderId="9" xfId="0" applyNumberFormat="1" applyFont="1" applyFill="1" applyBorder="1" applyAlignment="1">
      <alignment horizontal="center" vertical="center"/>
    </xf>
    <xf numFmtId="3" fontId="4" fillId="4" borderId="2" xfId="0" applyNumberFormat="1" applyFont="1" applyFill="1" applyBorder="1" applyAlignment="1">
      <alignment horizontal="right" vertical="center"/>
    </xf>
    <xf numFmtId="1" fontId="4" fillId="4" borderId="13" xfId="3" applyNumberFormat="1" applyFont="1" applyFill="1" applyBorder="1" applyAlignment="1">
      <alignment horizontal="right" vertical="center"/>
    </xf>
    <xf numFmtId="1" fontId="4" fillId="4" borderId="9" xfId="3" applyNumberFormat="1" applyFont="1" applyFill="1" applyBorder="1" applyAlignment="1">
      <alignment horizontal="right" vertical="center"/>
    </xf>
    <xf numFmtId="167" fontId="2" fillId="14" borderId="2" xfId="3" applyNumberFormat="1" applyFont="1" applyFill="1" applyBorder="1" applyAlignment="1">
      <alignment horizontal="right" vertical="center"/>
    </xf>
    <xf numFmtId="168" fontId="4" fillId="7" borderId="2" xfId="1" applyNumberFormat="1" applyFont="1" applyFill="1" applyBorder="1" applyAlignment="1">
      <alignment horizontal="center" vertical="center" wrapText="1"/>
    </xf>
    <xf numFmtId="168" fontId="4" fillId="7" borderId="13" xfId="1" applyNumberFormat="1" applyFont="1" applyFill="1" applyBorder="1" applyAlignment="1">
      <alignment horizontal="center" vertical="center" wrapText="1"/>
    </xf>
    <xf numFmtId="168" fontId="4" fillId="7" borderId="9" xfId="1" applyNumberFormat="1" applyFont="1" applyFill="1" applyBorder="1" applyAlignment="1">
      <alignment horizontal="center" vertical="center" wrapText="1"/>
    </xf>
    <xf numFmtId="0" fontId="4" fillId="8" borderId="2" xfId="0" applyFont="1" applyFill="1" applyBorder="1" applyAlignment="1">
      <alignment horizontal="center" vertical="center"/>
    </xf>
    <xf numFmtId="0" fontId="4" fillId="8" borderId="13" xfId="0" applyFont="1" applyFill="1" applyBorder="1" applyAlignment="1">
      <alignment horizontal="center" vertical="center"/>
    </xf>
    <xf numFmtId="0" fontId="4" fillId="8" borderId="9" xfId="0" applyFont="1" applyFill="1" applyBorder="1" applyAlignment="1">
      <alignment horizontal="center" vertical="center"/>
    </xf>
    <xf numFmtId="3" fontId="4" fillId="7" borderId="1" xfId="0" applyNumberFormat="1" applyFont="1" applyFill="1" applyBorder="1" applyAlignment="1">
      <alignment horizontal="center" vertical="center" wrapText="1"/>
    </xf>
    <xf numFmtId="0" fontId="2" fillId="8" borderId="2" xfId="0" applyFont="1" applyFill="1" applyBorder="1" applyAlignment="1">
      <alignment horizontal="center" vertical="center" textRotation="90" wrapText="1"/>
    </xf>
    <xf numFmtId="0" fontId="2" fillId="8" borderId="13" xfId="0" applyFont="1" applyFill="1" applyBorder="1" applyAlignment="1">
      <alignment horizontal="center" vertical="center" textRotation="90" wrapText="1"/>
    </xf>
    <xf numFmtId="0" fontId="2" fillId="8" borderId="9" xfId="0" applyFont="1" applyFill="1" applyBorder="1" applyAlignment="1">
      <alignment horizontal="center" vertical="center" textRotation="90" wrapText="1"/>
    </xf>
    <xf numFmtId="168" fontId="4" fillId="7" borderId="1" xfId="1" applyNumberFormat="1" applyFont="1" applyFill="1" applyBorder="1" applyAlignment="1">
      <alignment horizontal="center" vertical="center"/>
    </xf>
    <xf numFmtId="3" fontId="4" fillId="7" borderId="2" xfId="1" applyNumberFormat="1" applyFont="1" applyFill="1" applyBorder="1" applyAlignment="1">
      <alignment horizontal="center" vertical="center"/>
    </xf>
    <xf numFmtId="3" fontId="4" fillId="7" borderId="13" xfId="1" applyNumberFormat="1" applyFont="1" applyFill="1" applyBorder="1" applyAlignment="1">
      <alignment horizontal="center" vertical="center"/>
    </xf>
    <xf numFmtId="3" fontId="4" fillId="7" borderId="9" xfId="1" applyNumberFormat="1" applyFont="1" applyFill="1" applyBorder="1" applyAlignment="1">
      <alignment horizontal="center" vertical="center"/>
    </xf>
    <xf numFmtId="168" fontId="2" fillId="8" borderId="1" xfId="1" applyNumberFormat="1" applyFont="1" applyFill="1" applyBorder="1" applyAlignment="1">
      <alignment horizontal="center" vertical="center" wrapText="1"/>
    </xf>
    <xf numFmtId="3" fontId="2" fillId="4" borderId="2" xfId="0" applyNumberFormat="1" applyFont="1" applyFill="1" applyBorder="1" applyAlignment="1">
      <alignment horizontal="center" vertical="center" wrapText="1"/>
    </xf>
    <xf numFmtId="3" fontId="2" fillId="4" borderId="13" xfId="0" applyNumberFormat="1" applyFont="1" applyFill="1" applyBorder="1" applyAlignment="1">
      <alignment horizontal="center" vertical="center" wrapText="1"/>
    </xf>
    <xf numFmtId="3" fontId="2" fillId="4" borderId="9" xfId="0" applyNumberFormat="1"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9" xfId="0" applyFont="1" applyFill="1" applyBorder="1" applyAlignment="1">
      <alignment horizontal="center" vertical="center"/>
    </xf>
    <xf numFmtId="3"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170" fontId="5" fillId="0" borderId="1" xfId="2" applyNumberFormat="1" applyFont="1" applyFill="1" applyBorder="1" applyAlignment="1">
      <alignment horizontal="center" vertical="center"/>
    </xf>
    <xf numFmtId="41" fontId="4" fillId="7" borderId="1" xfId="4" applyNumberFormat="1" applyFont="1" applyFill="1" applyBorder="1" applyAlignment="1">
      <alignment horizontal="center" vertical="center"/>
    </xf>
    <xf numFmtId="171" fontId="4" fillId="7" borderId="1" xfId="4" applyNumberFormat="1" applyFont="1" applyFill="1" applyBorder="1" applyAlignment="1">
      <alignment horizontal="center" vertical="center"/>
    </xf>
    <xf numFmtId="0" fontId="2" fillId="7" borderId="1" xfId="0" applyFont="1" applyFill="1" applyBorder="1" applyAlignment="1">
      <alignment horizontal="center" vertical="center"/>
    </xf>
    <xf numFmtId="9" fontId="2" fillId="7" borderId="2" xfId="3" applyFont="1" applyFill="1" applyBorder="1" applyAlignment="1">
      <alignment horizontal="right" vertical="center" wrapText="1"/>
    </xf>
    <xf numFmtId="9" fontId="2" fillId="7" borderId="13" xfId="3" applyFont="1" applyFill="1" applyBorder="1" applyAlignment="1">
      <alignment horizontal="right" vertical="center" wrapText="1"/>
    </xf>
    <xf numFmtId="9" fontId="2" fillId="7" borderId="9" xfId="3" applyFont="1" applyFill="1" applyBorder="1" applyAlignment="1">
      <alignment horizontal="right" vertical="center" wrapText="1"/>
    </xf>
    <xf numFmtId="0" fontId="6" fillId="4" borderId="2" xfId="0" applyFont="1" applyFill="1" applyBorder="1" applyAlignment="1">
      <alignment horizontal="center" vertical="center"/>
    </xf>
    <xf numFmtId="0" fontId="6" fillId="4" borderId="9" xfId="0" applyFont="1" applyFill="1" applyBorder="1" applyAlignment="1">
      <alignment horizontal="center" vertical="center"/>
    </xf>
    <xf numFmtId="0" fontId="2" fillId="0" borderId="0" xfId="0" applyFont="1" applyFill="1" applyAlignment="1">
      <alignment horizontal="center" vertical="center"/>
    </xf>
    <xf numFmtId="170" fontId="2" fillId="8" borderId="2" xfId="0" applyNumberFormat="1" applyFont="1" applyFill="1" applyBorder="1" applyAlignment="1">
      <alignment horizontal="center" vertical="center" textRotation="90"/>
    </xf>
    <xf numFmtId="170" fontId="2" fillId="8" borderId="13" xfId="0" applyNumberFormat="1" applyFont="1" applyFill="1" applyBorder="1" applyAlignment="1">
      <alignment horizontal="center" vertical="center" textRotation="90"/>
    </xf>
    <xf numFmtId="170" fontId="2" fillId="8" borderId="9" xfId="0" applyNumberFormat="1" applyFont="1" applyFill="1" applyBorder="1" applyAlignment="1">
      <alignment horizontal="center" vertical="center" textRotation="90"/>
    </xf>
    <xf numFmtId="0" fontId="2" fillId="4" borderId="1" xfId="0" applyFont="1" applyFill="1" applyBorder="1" applyAlignment="1">
      <alignment horizontal="center" vertical="center"/>
    </xf>
    <xf numFmtId="0" fontId="12" fillId="0" borderId="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9" xfId="0" applyFont="1" applyBorder="1" applyAlignment="1">
      <alignment horizontal="center" vertical="center" wrapText="1"/>
    </xf>
    <xf numFmtId="41" fontId="4" fillId="4" borderId="1" xfId="4" applyNumberFormat="1" applyFont="1" applyFill="1" applyBorder="1" applyAlignment="1">
      <alignment horizontal="right" vertical="center"/>
    </xf>
    <xf numFmtId="41" fontId="4" fillId="4" borderId="2" xfId="4" applyNumberFormat="1" applyFont="1" applyFill="1" applyBorder="1" applyAlignment="1">
      <alignment horizontal="right" vertical="center"/>
    </xf>
    <xf numFmtId="0" fontId="4" fillId="4" borderId="1" xfId="4" applyNumberFormat="1" applyFont="1" applyFill="1" applyBorder="1" applyAlignment="1">
      <alignment horizontal="right" vertical="center"/>
    </xf>
    <xf numFmtId="0" fontId="12" fillId="0" borderId="1" xfId="0" applyFont="1" applyFill="1" applyBorder="1" applyAlignment="1">
      <alignment horizontal="center" vertical="center" wrapText="1"/>
    </xf>
    <xf numFmtId="9" fontId="4" fillId="4" borderId="2" xfId="3" applyFont="1" applyFill="1" applyBorder="1" applyAlignment="1">
      <alignment horizontal="right" vertical="center"/>
    </xf>
    <xf numFmtId="9" fontId="4" fillId="4" borderId="13" xfId="3" applyFont="1" applyFill="1" applyBorder="1" applyAlignment="1">
      <alignment horizontal="right" vertical="center"/>
    </xf>
    <xf numFmtId="9" fontId="4" fillId="4" borderId="9" xfId="3" applyFont="1" applyFill="1" applyBorder="1" applyAlignment="1">
      <alignment horizontal="right" vertical="center"/>
    </xf>
    <xf numFmtId="0" fontId="4" fillId="7" borderId="1" xfId="4" applyNumberFormat="1" applyFont="1" applyFill="1" applyBorder="1" applyAlignment="1">
      <alignment horizontal="center" vertical="center"/>
    </xf>
    <xf numFmtId="41" fontId="4" fillId="7" borderId="2" xfId="4" applyNumberFormat="1" applyFont="1" applyFill="1" applyBorder="1" applyAlignment="1">
      <alignment horizontal="center" vertical="center"/>
    </xf>
    <xf numFmtId="0" fontId="4" fillId="7" borderId="1" xfId="0" applyFont="1" applyFill="1" applyBorder="1" applyAlignment="1">
      <alignment horizontal="center" vertical="center"/>
    </xf>
    <xf numFmtId="167" fontId="5" fillId="0" borderId="2" xfId="4" applyFont="1" applyFill="1" applyBorder="1" applyAlignment="1">
      <alignment horizontal="center" vertical="center"/>
    </xf>
    <xf numFmtId="167" fontId="5" fillId="0" borderId="9" xfId="4" applyFont="1" applyFill="1" applyBorder="1" applyAlignment="1">
      <alignment horizontal="center" vertical="center"/>
    </xf>
    <xf numFmtId="9" fontId="4" fillId="4" borderId="1" xfId="3" applyFont="1" applyFill="1" applyBorder="1" applyAlignment="1">
      <alignment horizontal="right" vertical="center"/>
    </xf>
    <xf numFmtId="170" fontId="5" fillId="0" borderId="2" xfId="2" applyNumberFormat="1" applyFont="1" applyFill="1" applyBorder="1" applyAlignment="1">
      <alignment horizontal="center" vertical="center"/>
    </xf>
    <xf numFmtId="170" fontId="5" fillId="0" borderId="13" xfId="2" applyNumberFormat="1" applyFont="1" applyFill="1" applyBorder="1" applyAlignment="1">
      <alignment horizontal="center" vertical="center"/>
    </xf>
    <xf numFmtId="170" fontId="5" fillId="0" borderId="9" xfId="2" applyNumberFormat="1" applyFont="1" applyFill="1" applyBorder="1" applyAlignment="1">
      <alignment horizontal="center" vertical="center"/>
    </xf>
    <xf numFmtId="0" fontId="2" fillId="4" borderId="1" xfId="0" applyFont="1" applyFill="1" applyBorder="1" applyAlignment="1">
      <alignment horizontal="right" vertical="center"/>
    </xf>
    <xf numFmtId="0" fontId="4" fillId="4" borderId="1" xfId="0" applyFont="1" applyFill="1" applyBorder="1" applyAlignment="1">
      <alignment horizontal="right" vertical="center"/>
    </xf>
    <xf numFmtId="0" fontId="2" fillId="4" borderId="2" xfId="0" applyFont="1" applyFill="1" applyBorder="1" applyAlignment="1">
      <alignment horizontal="right" vertical="center"/>
    </xf>
    <xf numFmtId="0" fontId="2" fillId="4" borderId="9" xfId="0" applyFont="1" applyFill="1" applyBorder="1" applyAlignment="1">
      <alignment horizontal="right" vertical="center"/>
    </xf>
    <xf numFmtId="0" fontId="2" fillId="13" borderId="1" xfId="4" applyNumberFormat="1" applyFont="1" applyFill="1" applyBorder="1" applyAlignment="1">
      <alignment horizontal="right" vertical="center"/>
    </xf>
    <xf numFmtId="0" fontId="2" fillId="4" borderId="13" xfId="0" applyFont="1" applyFill="1" applyBorder="1" applyAlignment="1">
      <alignment horizontal="right" vertical="center"/>
    </xf>
    <xf numFmtId="0" fontId="4" fillId="4" borderId="2" xfId="0" applyFont="1" applyFill="1" applyBorder="1" applyAlignment="1">
      <alignment horizontal="right" vertical="center"/>
    </xf>
    <xf numFmtId="0" fontId="4" fillId="4" borderId="13" xfId="0" applyFont="1" applyFill="1" applyBorder="1" applyAlignment="1">
      <alignment horizontal="right" vertical="center"/>
    </xf>
    <xf numFmtId="0" fontId="4" fillId="4" borderId="9" xfId="0" applyFont="1" applyFill="1" applyBorder="1" applyAlignment="1">
      <alignment horizontal="right" vertical="center"/>
    </xf>
    <xf numFmtId="170" fontId="2" fillId="8" borderId="3" xfId="0" applyNumberFormat="1" applyFont="1" applyFill="1" applyBorder="1" applyAlignment="1">
      <alignment horizontal="center" vertical="center"/>
    </xf>
    <xf numFmtId="170" fontId="2" fillId="8" borderId="4" xfId="0" applyNumberFormat="1" applyFont="1" applyFill="1" applyBorder="1" applyAlignment="1">
      <alignment horizontal="center" vertical="center"/>
    </xf>
    <xf numFmtId="170" fontId="2" fillId="8" borderId="5" xfId="0" applyNumberFormat="1" applyFont="1" applyFill="1" applyBorder="1" applyAlignment="1">
      <alignment horizontal="center" vertical="center"/>
    </xf>
    <xf numFmtId="170" fontId="2" fillId="8" borderId="14" xfId="0" applyNumberFormat="1" applyFont="1" applyFill="1" applyBorder="1" applyAlignment="1">
      <alignment horizontal="center" vertical="center"/>
    </xf>
    <xf numFmtId="170" fontId="2" fillId="8" borderId="0" xfId="0" applyNumberFormat="1" applyFont="1" applyFill="1" applyBorder="1" applyAlignment="1">
      <alignment horizontal="center" vertical="center"/>
    </xf>
    <xf numFmtId="170" fontId="2" fillId="8" borderId="15" xfId="0" applyNumberFormat="1" applyFont="1" applyFill="1" applyBorder="1" applyAlignment="1">
      <alignment horizontal="center" vertical="center"/>
    </xf>
    <xf numFmtId="170" fontId="2" fillId="8" borderId="10" xfId="0" applyNumberFormat="1" applyFont="1" applyFill="1" applyBorder="1" applyAlignment="1">
      <alignment horizontal="center" vertical="center"/>
    </xf>
    <xf numFmtId="170" fontId="2" fillId="8" borderId="11" xfId="0" applyNumberFormat="1" applyFont="1" applyFill="1" applyBorder="1" applyAlignment="1">
      <alignment horizontal="center" vertical="center"/>
    </xf>
    <xf numFmtId="170" fontId="2" fillId="8" borderId="12" xfId="0" applyNumberFormat="1" applyFont="1" applyFill="1" applyBorder="1" applyAlignment="1">
      <alignment horizontal="center" vertical="center"/>
    </xf>
    <xf numFmtId="172" fontId="18" fillId="11" borderId="2" xfId="2" applyNumberFormat="1" applyFont="1" applyFill="1" applyBorder="1" applyAlignment="1">
      <alignment horizontal="center" vertical="center"/>
    </xf>
    <xf numFmtId="172" fontId="18" fillId="11" borderId="13" xfId="2" applyNumberFormat="1" applyFont="1" applyFill="1" applyBorder="1" applyAlignment="1">
      <alignment horizontal="center" vertical="center"/>
    </xf>
    <xf numFmtId="172" fontId="18" fillId="11" borderId="9" xfId="2" applyNumberFormat="1" applyFont="1" applyFill="1" applyBorder="1" applyAlignment="1">
      <alignment horizontal="center" vertical="center"/>
    </xf>
    <xf numFmtId="172" fontId="2" fillId="10" borderId="2" xfId="2" applyNumberFormat="1" applyFont="1" applyFill="1" applyBorder="1" applyAlignment="1">
      <alignment horizontal="center" vertical="center"/>
    </xf>
    <xf numFmtId="172" fontId="2" fillId="10" borderId="13" xfId="2" applyNumberFormat="1" applyFont="1" applyFill="1" applyBorder="1" applyAlignment="1">
      <alignment horizontal="center" vertical="center"/>
    </xf>
    <xf numFmtId="172" fontId="2" fillId="10" borderId="9" xfId="2" applyNumberFormat="1" applyFont="1" applyFill="1" applyBorder="1" applyAlignment="1">
      <alignment horizontal="center" vertical="center"/>
    </xf>
    <xf numFmtId="9" fontId="2" fillId="15" borderId="1" xfId="3" applyFont="1" applyFill="1" applyBorder="1" applyAlignment="1">
      <alignment horizontal="right" vertical="center" wrapText="1"/>
    </xf>
    <xf numFmtId="168" fontId="2" fillId="4" borderId="2" xfId="1" applyNumberFormat="1" applyFont="1" applyFill="1" applyBorder="1" applyAlignment="1">
      <alignment horizontal="right" vertical="center"/>
    </xf>
    <xf numFmtId="168" fontId="2" fillId="4" borderId="13" xfId="1" applyNumberFormat="1" applyFont="1" applyFill="1" applyBorder="1" applyAlignment="1">
      <alignment horizontal="right" vertical="center"/>
    </xf>
    <xf numFmtId="168" fontId="2" fillId="4" borderId="9" xfId="1" applyNumberFormat="1" applyFont="1" applyFill="1" applyBorder="1" applyAlignment="1">
      <alignment horizontal="right" vertical="center"/>
    </xf>
    <xf numFmtId="3" fontId="2" fillId="4" borderId="2" xfId="0" applyNumberFormat="1" applyFont="1" applyFill="1" applyBorder="1" applyAlignment="1">
      <alignment horizontal="right" vertical="center"/>
    </xf>
    <xf numFmtId="3" fontId="2" fillId="4" borderId="13" xfId="0" applyNumberFormat="1" applyFont="1" applyFill="1" applyBorder="1" applyAlignment="1">
      <alignment horizontal="right" vertical="center"/>
    </xf>
    <xf numFmtId="3" fontId="2" fillId="4" borderId="9" xfId="0" applyNumberFormat="1" applyFont="1" applyFill="1" applyBorder="1" applyAlignment="1">
      <alignment horizontal="right" vertical="center"/>
    </xf>
    <xf numFmtId="3" fontId="2" fillId="4" borderId="1" xfId="0" applyNumberFormat="1" applyFont="1" applyFill="1" applyBorder="1" applyAlignment="1">
      <alignment horizontal="right" vertical="center"/>
    </xf>
    <xf numFmtId="168" fontId="4" fillId="4" borderId="2" xfId="1" applyNumberFormat="1" applyFont="1" applyFill="1" applyBorder="1" applyAlignment="1">
      <alignment horizontal="right" vertical="center"/>
    </xf>
    <xf numFmtId="168" fontId="4" fillId="4" borderId="13" xfId="1" applyNumberFormat="1" applyFont="1" applyFill="1" applyBorder="1" applyAlignment="1">
      <alignment horizontal="right" vertical="center"/>
    </xf>
    <xf numFmtId="168" fontId="4" fillId="4" borderId="9" xfId="1" applyNumberFormat="1" applyFont="1" applyFill="1" applyBorder="1" applyAlignment="1">
      <alignment horizontal="right" vertical="center"/>
    </xf>
    <xf numFmtId="3" fontId="4" fillId="4" borderId="13" xfId="0" applyNumberFormat="1" applyFont="1" applyFill="1" applyBorder="1" applyAlignment="1">
      <alignment horizontal="right" vertical="center"/>
    </xf>
    <xf numFmtId="3" fontId="4" fillId="4" borderId="9" xfId="0" applyNumberFormat="1" applyFont="1" applyFill="1" applyBorder="1" applyAlignment="1">
      <alignment horizontal="right" vertical="center"/>
    </xf>
    <xf numFmtId="168" fontId="4" fillId="4" borderId="2" xfId="1" applyNumberFormat="1" applyFont="1" applyFill="1" applyBorder="1" applyAlignment="1">
      <alignment horizontal="right" vertical="center" wrapText="1"/>
    </xf>
    <xf numFmtId="168" fontId="4" fillId="4" borderId="13" xfId="1" applyNumberFormat="1" applyFont="1" applyFill="1" applyBorder="1" applyAlignment="1">
      <alignment horizontal="right" vertical="center" wrapText="1"/>
    </xf>
    <xf numFmtId="168" fontId="4" fillId="4" borderId="9" xfId="1" applyNumberFormat="1" applyFont="1" applyFill="1" applyBorder="1" applyAlignment="1">
      <alignment horizontal="right" vertical="center" wrapText="1"/>
    </xf>
    <xf numFmtId="3" fontId="4" fillId="4" borderId="2" xfId="1" applyNumberFormat="1" applyFont="1" applyFill="1" applyBorder="1" applyAlignment="1">
      <alignment horizontal="right" vertical="center"/>
    </xf>
    <xf numFmtId="3" fontId="4" fillId="4" borderId="13" xfId="1" applyNumberFormat="1" applyFont="1" applyFill="1" applyBorder="1" applyAlignment="1">
      <alignment horizontal="right" vertical="center"/>
    </xf>
    <xf numFmtId="3" fontId="4" fillId="4" borderId="9" xfId="1" applyNumberFormat="1" applyFont="1" applyFill="1" applyBorder="1" applyAlignment="1">
      <alignment horizontal="right" vertical="center"/>
    </xf>
    <xf numFmtId="171" fontId="4" fillId="4" borderId="1" xfId="4" applyNumberFormat="1" applyFont="1" applyFill="1" applyBorder="1" applyAlignment="1">
      <alignment horizontal="right" vertical="center"/>
    </xf>
    <xf numFmtId="168" fontId="4" fillId="4" borderId="1" xfId="1" applyNumberFormat="1" applyFont="1" applyFill="1" applyBorder="1" applyAlignment="1">
      <alignment horizontal="right" vertical="center"/>
    </xf>
    <xf numFmtId="0" fontId="2" fillId="13" borderId="2" xfId="4" applyNumberFormat="1" applyFont="1" applyFill="1" applyBorder="1" applyAlignment="1">
      <alignment horizontal="right" vertical="center"/>
    </xf>
    <xf numFmtId="0" fontId="2" fillId="13" borderId="13" xfId="4" applyNumberFormat="1" applyFont="1" applyFill="1" applyBorder="1" applyAlignment="1">
      <alignment horizontal="right" vertical="center"/>
    </xf>
    <xf numFmtId="0" fontId="2" fillId="13" borderId="9" xfId="4" applyNumberFormat="1" applyFont="1" applyFill="1" applyBorder="1" applyAlignment="1">
      <alignment horizontal="right" vertical="center"/>
    </xf>
    <xf numFmtId="166" fontId="5" fillId="0" borderId="2" xfId="2" applyNumberFormat="1" applyFont="1" applyFill="1" applyBorder="1" applyAlignment="1">
      <alignment horizontal="right" vertical="center"/>
    </xf>
    <xf numFmtId="165" fontId="5" fillId="0" borderId="13" xfId="2" applyFont="1" applyFill="1" applyBorder="1" applyAlignment="1">
      <alignment horizontal="right" vertical="center"/>
    </xf>
    <xf numFmtId="165" fontId="5" fillId="0" borderId="9" xfId="2" applyFont="1" applyFill="1" applyBorder="1" applyAlignment="1">
      <alignment horizontal="right" vertical="center"/>
    </xf>
    <xf numFmtId="1" fontId="2" fillId="13" borderId="1" xfId="4" applyNumberFormat="1" applyFont="1" applyFill="1" applyBorder="1" applyAlignment="1">
      <alignment horizontal="right" vertical="center"/>
    </xf>
    <xf numFmtId="9" fontId="2" fillId="10" borderId="2" xfId="3" applyFont="1" applyFill="1" applyBorder="1" applyAlignment="1">
      <alignment horizontal="center" vertical="center"/>
    </xf>
    <xf numFmtId="9" fontId="2" fillId="10" borderId="13" xfId="3" applyFont="1" applyFill="1" applyBorder="1" applyAlignment="1">
      <alignment horizontal="center" vertical="center"/>
    </xf>
    <xf numFmtId="9" fontId="2" fillId="10" borderId="9" xfId="3" applyFont="1" applyFill="1" applyBorder="1" applyAlignment="1">
      <alignment horizontal="center" vertical="center"/>
    </xf>
    <xf numFmtId="170" fontId="2" fillId="8" borderId="2" xfId="2" applyNumberFormat="1" applyFont="1" applyFill="1" applyBorder="1" applyAlignment="1">
      <alignment horizontal="center" vertical="center" wrapText="1"/>
    </xf>
    <xf numFmtId="170" fontId="2" fillId="8" borderId="13" xfId="2" applyNumberFormat="1" applyFont="1" applyFill="1" applyBorder="1" applyAlignment="1">
      <alignment horizontal="center" vertical="center" wrapText="1"/>
    </xf>
    <xf numFmtId="170" fontId="2" fillId="8" borderId="9" xfId="2" applyNumberFormat="1" applyFont="1" applyFill="1" applyBorder="1" applyAlignment="1">
      <alignment horizontal="center" vertical="center" wrapText="1"/>
    </xf>
    <xf numFmtId="9" fontId="2" fillId="10" borderId="2" xfId="3" applyFont="1" applyFill="1" applyBorder="1" applyAlignment="1">
      <alignment horizontal="center" vertical="center" wrapText="1"/>
    </xf>
    <xf numFmtId="9" fontId="2" fillId="10" borderId="13" xfId="3" applyFont="1" applyFill="1" applyBorder="1" applyAlignment="1">
      <alignment horizontal="center" vertical="center" wrapText="1"/>
    </xf>
    <xf numFmtId="9" fontId="2" fillId="10" borderId="9" xfId="3" applyFont="1" applyFill="1" applyBorder="1" applyAlignment="1">
      <alignment horizontal="center" vertical="center" wrapText="1"/>
    </xf>
    <xf numFmtId="0" fontId="9" fillId="0" borderId="1" xfId="0" applyFont="1" applyFill="1" applyBorder="1" applyAlignment="1">
      <alignment horizontal="center" vertical="center" wrapText="1"/>
    </xf>
    <xf numFmtId="170" fontId="2" fillId="8" borderId="3" xfId="0" applyNumberFormat="1" applyFont="1" applyFill="1" applyBorder="1" applyAlignment="1">
      <alignment horizontal="center" vertical="center" textRotation="90" wrapText="1"/>
    </xf>
    <xf numFmtId="170" fontId="2" fillId="8" borderId="14" xfId="0" applyNumberFormat="1" applyFont="1" applyFill="1" applyBorder="1" applyAlignment="1">
      <alignment horizontal="center" vertical="center" textRotation="90" wrapText="1"/>
    </xf>
    <xf numFmtId="170" fontId="2" fillId="8" borderId="13" xfId="0" applyNumberFormat="1" applyFont="1" applyFill="1" applyBorder="1" applyAlignment="1">
      <alignment horizontal="center" vertical="center" textRotation="90" wrapText="1"/>
    </xf>
    <xf numFmtId="170" fontId="2" fillId="8" borderId="9" xfId="0" applyNumberFormat="1" applyFont="1" applyFill="1" applyBorder="1" applyAlignment="1">
      <alignment horizontal="center" vertical="center" textRotation="90" wrapText="1"/>
    </xf>
    <xf numFmtId="170" fontId="5" fillId="4" borderId="1" xfId="2" applyNumberFormat="1" applyFont="1" applyFill="1" applyBorder="1" applyAlignment="1">
      <alignment horizontal="center" vertical="center"/>
    </xf>
    <xf numFmtId="0" fontId="2" fillId="8" borderId="5" xfId="0" applyFont="1" applyFill="1" applyBorder="1" applyAlignment="1">
      <alignment horizontal="center" vertical="center" wrapText="1"/>
    </xf>
    <xf numFmtId="0" fontId="2" fillId="8" borderId="15" xfId="0" applyFont="1" applyFill="1" applyBorder="1" applyAlignment="1">
      <alignment horizontal="center" vertical="center" wrapText="1"/>
    </xf>
    <xf numFmtId="165" fontId="2" fillId="10" borderId="2" xfId="2" applyFont="1" applyFill="1" applyBorder="1" applyAlignment="1">
      <alignment horizontal="center" vertical="center"/>
    </xf>
    <xf numFmtId="165" fontId="2" fillId="10" borderId="13" xfId="2" applyFont="1" applyFill="1" applyBorder="1" applyAlignment="1">
      <alignment horizontal="center" vertical="center"/>
    </xf>
    <xf numFmtId="165" fontId="2" fillId="10" borderId="9" xfId="2" applyFont="1" applyFill="1" applyBorder="1" applyAlignment="1">
      <alignment horizontal="center" vertical="center"/>
    </xf>
    <xf numFmtId="9" fontId="2" fillId="12" borderId="2" xfId="3" applyFont="1" applyFill="1" applyBorder="1" applyAlignment="1">
      <alignment horizontal="right" vertical="center" wrapText="1"/>
    </xf>
    <xf numFmtId="9" fontId="2" fillId="12" borderId="13" xfId="3" applyFont="1" applyFill="1" applyBorder="1" applyAlignment="1">
      <alignment horizontal="right" vertical="center" wrapText="1"/>
    </xf>
    <xf numFmtId="9" fontId="2" fillId="12" borderId="9" xfId="3" applyFont="1" applyFill="1" applyBorder="1" applyAlignment="1">
      <alignment horizontal="right" vertical="center" wrapText="1"/>
    </xf>
    <xf numFmtId="9" fontId="2" fillId="12" borderId="1" xfId="3" applyNumberFormat="1" applyFont="1" applyFill="1" applyBorder="1" applyAlignment="1">
      <alignment horizontal="right" vertical="center" wrapText="1"/>
    </xf>
    <xf numFmtId="0" fontId="0" fillId="4" borderId="13" xfId="0" applyFill="1" applyBorder="1" applyAlignment="1">
      <alignment horizontal="right" vertical="center"/>
    </xf>
    <xf numFmtId="0" fontId="0" fillId="4" borderId="9" xfId="0" applyFill="1" applyBorder="1" applyAlignment="1">
      <alignment horizontal="right" vertical="center"/>
    </xf>
    <xf numFmtId="0" fontId="2" fillId="13" borderId="2" xfId="0" applyFont="1" applyFill="1" applyBorder="1" applyAlignment="1">
      <alignment horizontal="right" vertical="center"/>
    </xf>
    <xf numFmtId="0" fontId="2" fillId="13" borderId="13" xfId="0" applyFont="1" applyFill="1" applyBorder="1" applyAlignment="1">
      <alignment horizontal="right" vertical="center"/>
    </xf>
    <xf numFmtId="0" fontId="2" fillId="13" borderId="9" xfId="0" applyFont="1" applyFill="1" applyBorder="1" applyAlignment="1">
      <alignment horizontal="right" vertical="center"/>
    </xf>
    <xf numFmtId="168" fontId="2" fillId="13" borderId="2" xfId="3" applyNumberFormat="1" applyFont="1" applyFill="1" applyBorder="1" applyAlignment="1">
      <alignment horizontal="right" vertical="center"/>
    </xf>
    <xf numFmtId="9" fontId="2" fillId="13" borderId="13" xfId="3" applyFont="1" applyFill="1" applyBorder="1" applyAlignment="1">
      <alignment horizontal="right" vertical="center"/>
    </xf>
    <xf numFmtId="9" fontId="2" fillId="13" borderId="9" xfId="3" applyFont="1" applyFill="1" applyBorder="1" applyAlignment="1">
      <alignment horizontal="right" vertical="center"/>
    </xf>
    <xf numFmtId="167" fontId="2" fillId="13" borderId="2" xfId="3" applyNumberFormat="1" applyFont="1" applyFill="1" applyBorder="1" applyAlignment="1">
      <alignment horizontal="right" vertical="center"/>
    </xf>
    <xf numFmtId="9" fontId="2" fillId="4" borderId="2" xfId="3" applyFont="1" applyFill="1" applyBorder="1" applyAlignment="1">
      <alignment horizontal="right" vertical="center" wrapText="1"/>
    </xf>
    <xf numFmtId="9" fontId="2" fillId="4" borderId="13" xfId="3" applyFont="1" applyFill="1" applyBorder="1" applyAlignment="1">
      <alignment horizontal="right" vertical="center" wrapText="1"/>
    </xf>
    <xf numFmtId="9" fontId="2" fillId="4" borderId="9" xfId="3" applyFont="1" applyFill="1" applyBorder="1" applyAlignment="1">
      <alignment horizontal="right" vertical="center" wrapText="1"/>
    </xf>
    <xf numFmtId="172" fontId="17" fillId="10" borderId="2" xfId="2" applyNumberFormat="1" applyFont="1" applyFill="1" applyBorder="1" applyAlignment="1">
      <alignment horizontal="center" vertical="center"/>
    </xf>
    <xf numFmtId="172" fontId="17" fillId="10" borderId="13" xfId="2" applyNumberFormat="1" applyFont="1" applyFill="1" applyBorder="1" applyAlignment="1">
      <alignment horizontal="center" vertical="center"/>
    </xf>
    <xf numFmtId="172" fontId="17" fillId="10" borderId="9" xfId="2" applyNumberFormat="1" applyFont="1" applyFill="1" applyBorder="1" applyAlignment="1">
      <alignment horizontal="center" vertical="center"/>
    </xf>
    <xf numFmtId="172" fontId="16" fillId="11" borderId="2" xfId="2" applyNumberFormat="1" applyFont="1" applyFill="1" applyBorder="1" applyAlignment="1">
      <alignment horizontal="center" vertical="center"/>
    </xf>
    <xf numFmtId="172" fontId="16" fillId="11" borderId="13" xfId="2" applyNumberFormat="1" applyFont="1" applyFill="1" applyBorder="1" applyAlignment="1">
      <alignment horizontal="center" vertical="center"/>
    </xf>
    <xf numFmtId="172" fontId="16" fillId="11" borderId="9" xfId="2" applyNumberFormat="1" applyFont="1" applyFill="1" applyBorder="1" applyAlignment="1">
      <alignment horizontal="center" vertical="center"/>
    </xf>
    <xf numFmtId="0" fontId="2" fillId="8" borderId="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8" borderId="0"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2" xfId="0" applyFont="1" applyFill="1" applyBorder="1" applyAlignment="1">
      <alignment horizontal="center" vertical="center" wrapText="1"/>
    </xf>
    <xf numFmtId="165" fontId="17" fillId="10" borderId="2" xfId="2" applyFont="1" applyFill="1" applyBorder="1" applyAlignment="1">
      <alignment horizontal="center" vertical="center"/>
    </xf>
    <xf numFmtId="165" fontId="17" fillId="10" borderId="13" xfId="2" applyFont="1" applyFill="1" applyBorder="1" applyAlignment="1">
      <alignment horizontal="center" vertical="center"/>
    </xf>
    <xf numFmtId="165" fontId="17" fillId="10" borderId="9" xfId="2" applyFont="1" applyFill="1" applyBorder="1" applyAlignment="1">
      <alignment horizontal="center" vertical="center"/>
    </xf>
    <xf numFmtId="9" fontId="2" fillId="4" borderId="2" xfId="3" applyNumberFormat="1" applyFont="1" applyFill="1" applyBorder="1" applyAlignment="1">
      <alignment horizontal="right" vertical="center"/>
    </xf>
    <xf numFmtId="9" fontId="2" fillId="4" borderId="13" xfId="3" applyNumberFormat="1" applyFont="1" applyFill="1" applyBorder="1" applyAlignment="1">
      <alignment horizontal="right" vertical="center"/>
    </xf>
    <xf numFmtId="9" fontId="2" fillId="4" borderId="9" xfId="3" applyNumberFormat="1" applyFont="1" applyFill="1" applyBorder="1" applyAlignment="1">
      <alignment horizontal="right" vertical="center"/>
    </xf>
    <xf numFmtId="9" fontId="0" fillId="0" borderId="0" xfId="3" applyFont="1" applyFill="1"/>
  </cellXfs>
  <cellStyles count="6">
    <cellStyle name="Millares" xfId="1" builtinId="3"/>
    <cellStyle name="Millares [0]" xfId="4" builtinId="6"/>
    <cellStyle name="Moneda" xfId="2" builtinId="4"/>
    <cellStyle name="Moneda [0]" xfId="5" builtinId="7"/>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536751</xdr:colOff>
      <xdr:row>11</xdr:row>
      <xdr:rowOff>1502863</xdr:rowOff>
    </xdr:to>
    <xdr:pic>
      <xdr:nvPicPr>
        <xdr:cNvPr id="2" name="1 Imagen" descr="C:\Documents and Settings\user\Configuración local\Archivos temporales de Internet\Content.Word\LOGO IDER_2012_2 (3).png"/>
        <xdr:cNvPicPr/>
      </xdr:nvPicPr>
      <xdr:blipFill>
        <a:blip xmlns:r="http://schemas.openxmlformats.org/officeDocument/2006/relationships" r:embed="rId1" cstate="print"/>
        <a:srcRect/>
        <a:stretch>
          <a:fillRect/>
        </a:stretch>
      </xdr:blipFill>
      <xdr:spPr bwMode="auto">
        <a:xfrm>
          <a:off x="0" y="0"/>
          <a:ext cx="2060751" cy="1502863"/>
        </a:xfrm>
        <a:prstGeom prst="rect">
          <a:avLst/>
        </a:prstGeom>
        <a:noFill/>
        <a:ln w="9525">
          <a:noFill/>
          <a:miter lim="800000"/>
          <a:headEnd/>
          <a:tailEnd/>
        </a:ln>
      </xdr:spPr>
    </xdr:pic>
    <xdr:clientData/>
  </xdr:twoCellAnchor>
  <xdr:twoCellAnchor editAs="oneCell">
    <xdr:from>
      <xdr:col>90</xdr:col>
      <xdr:colOff>0</xdr:colOff>
      <xdr:row>0</xdr:row>
      <xdr:rowOff>0</xdr:rowOff>
    </xdr:from>
    <xdr:to>
      <xdr:col>95</xdr:col>
      <xdr:colOff>320693</xdr:colOff>
      <xdr:row>11</xdr:row>
      <xdr:rowOff>1276047</xdr:rowOff>
    </xdr:to>
    <xdr:pic>
      <xdr:nvPicPr>
        <xdr:cNvPr id="5" name="2 Imagen" descr="http://manoloalcalde.co/wp-content/uploads/2015/08/primero-la-gente.jpg"/>
        <xdr:cNvPicPr/>
      </xdr:nvPicPr>
      <xdr:blipFill>
        <a:blip xmlns:r="http://schemas.openxmlformats.org/officeDocument/2006/relationships" r:embed="rId2" cstate="print"/>
        <a:srcRect/>
        <a:stretch>
          <a:fillRect/>
        </a:stretch>
      </xdr:blipFill>
      <xdr:spPr bwMode="auto">
        <a:xfrm>
          <a:off x="109084672" y="0"/>
          <a:ext cx="4574932" cy="1276047"/>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0POAI%20a%20diciembre%2031%20d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 Total Proyectada a 2017"/>
      <sheetName val="Resumen"/>
      <sheetName val="Inv en Millones Mayor a Menor"/>
      <sheetName val="Inv en Millones de Pesos"/>
      <sheetName val="Resumen "/>
      <sheetName val="Despacho"/>
      <sheetName val="Sec del Interior"/>
      <sheetName val="Sec de Hacienda"/>
      <sheetName val="Loc de la Virgen"/>
      <sheetName val="Sec General"/>
      <sheetName val="Sec de Infraestructura"/>
      <sheetName val="Sec de Educacion"/>
      <sheetName val="Sec de Participacion"/>
      <sheetName val="Sec de Planeacion"/>
      <sheetName val="DADIS"/>
      <sheetName val="Loc Historica"/>
      <sheetName val="DATT"/>
      <sheetName val="Valorizacion"/>
      <sheetName val="Esc de Gobierno"/>
      <sheetName val="IDER"/>
      <sheetName val="Corvivienda"/>
      <sheetName val="IPCC"/>
      <sheetName val="EPA"/>
      <sheetName val="Distriseguridad"/>
      <sheetName val="Loc Industrial"/>
      <sheetName val="Fon Pen"/>
      <sheetName val="Col Mayor"/>
      <sheetName val="OC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4">
          <cell r="N4">
            <v>4469208494</v>
          </cell>
        </row>
      </sheetData>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587"/>
  <sheetViews>
    <sheetView tabSelected="1" topLeftCell="AR15" zoomScale="40" zoomScaleNormal="40" workbookViewId="0">
      <selection activeCell="BB13" sqref="BB13:BB123"/>
    </sheetView>
  </sheetViews>
  <sheetFormatPr baseColWidth="10" defaultRowHeight="36" x14ac:dyDescent="0.35"/>
  <cols>
    <col min="4" max="4" width="17.42578125" style="1" customWidth="1"/>
    <col min="5" max="5" width="20.140625" style="1" customWidth="1"/>
    <col min="6" max="6" width="26.85546875" style="1" customWidth="1"/>
    <col min="7" max="8" width="33.85546875" style="1" customWidth="1"/>
    <col min="9" max="9" width="28.85546875" style="1" customWidth="1"/>
    <col min="10" max="10" width="20.7109375" style="1" customWidth="1"/>
    <col min="11" max="11" width="34.42578125" style="33" customWidth="1"/>
    <col min="12" max="12" width="19.85546875" style="34" customWidth="1"/>
    <col min="13" max="13" width="23.42578125" style="34" customWidth="1"/>
    <col min="14" max="14" width="31.42578125" style="1" customWidth="1"/>
    <col min="15" max="15" width="20.140625" style="1" customWidth="1"/>
    <col min="16" max="16" width="20" style="3" customWidth="1"/>
    <col min="17" max="17" width="82.5703125" style="3" customWidth="1"/>
    <col min="18" max="18" width="22.5703125" style="3" customWidth="1"/>
    <col min="19" max="19" width="20" style="77" customWidth="1"/>
    <col min="20" max="20" width="20.42578125" style="77" customWidth="1"/>
    <col min="21" max="21" width="20" style="77" customWidth="1"/>
    <col min="22" max="22" width="16.140625" style="77" customWidth="1"/>
    <col min="23" max="23" width="17.7109375" style="77" customWidth="1"/>
    <col min="24" max="25" width="17.7109375" style="182" customWidth="1"/>
    <col min="26" max="26" width="19.5703125" style="182" customWidth="1"/>
    <col min="27" max="29" width="20" style="61" customWidth="1"/>
    <col min="30" max="30" width="16.140625" style="61" customWidth="1"/>
    <col min="31" max="31" width="21.5703125" style="61" customWidth="1"/>
    <col min="32" max="32" width="21.140625" style="61" customWidth="1"/>
    <col min="33" max="33" width="25.5703125" style="61" customWidth="1"/>
    <col min="34" max="34" width="22.140625" style="61" customWidth="1"/>
    <col min="35" max="35" width="27.7109375" style="155" customWidth="1"/>
    <col min="36" max="36" width="23.5703125" style="155" customWidth="1"/>
    <col min="37" max="37" width="22.85546875" style="182" customWidth="1"/>
    <col min="38" max="38" width="25.5703125" style="191" customWidth="1"/>
    <col min="39" max="39" width="23.28515625" style="182" customWidth="1"/>
    <col min="40" max="40" width="22.7109375" style="165" customWidth="1"/>
    <col min="41" max="41" width="26" style="165" customWidth="1"/>
    <col min="42" max="42" width="28.42578125" style="165" customWidth="1"/>
    <col min="43" max="43" width="26.28515625" style="182" customWidth="1"/>
    <col min="44" max="44" width="22.7109375" style="182" customWidth="1"/>
    <col min="45" max="45" width="28.7109375" style="182" customWidth="1"/>
    <col min="46" max="46" width="27.28515625" style="61" customWidth="1"/>
    <col min="47" max="47" width="32.5703125" style="61" customWidth="1"/>
    <col min="48" max="48" width="28.28515625" style="61" customWidth="1"/>
    <col min="49" max="49" width="25.42578125" style="201" customWidth="1"/>
    <col min="50" max="50" width="28.28515625" style="201" customWidth="1"/>
    <col min="51" max="51" width="35.140625" style="216" customWidth="1"/>
    <col min="52" max="52" width="29.7109375" style="216" customWidth="1"/>
    <col min="53" max="53" width="38.42578125" style="216" customWidth="1"/>
    <col min="54" max="54" width="34.28515625" style="216" customWidth="1"/>
    <col min="55" max="55" width="78.42578125" style="1" customWidth="1"/>
    <col min="56" max="56" width="160.28515625" style="59" customWidth="1"/>
    <col min="57" max="57" width="133.5703125" style="59" customWidth="1"/>
    <col min="58" max="58" width="177.140625" style="59" customWidth="1"/>
    <col min="59" max="59" width="16.85546875" style="1" customWidth="1"/>
    <col min="60" max="60" width="73.42578125" style="1" customWidth="1"/>
    <col min="61" max="62" width="11.42578125" style="1"/>
    <col min="63" max="63" width="3.85546875" style="1" customWidth="1"/>
    <col min="64" max="64" width="24.85546875" style="1" customWidth="1"/>
    <col min="65" max="65" width="29.7109375" style="1" customWidth="1"/>
    <col min="66" max="66" width="34.7109375" customWidth="1"/>
    <col min="67" max="67" width="36.85546875" style="44" hidden="1" customWidth="1"/>
    <col min="68" max="68" width="29.85546875" style="44" hidden="1" customWidth="1"/>
    <col min="69" max="69" width="20.42578125" style="44" hidden="1" customWidth="1"/>
    <col min="70" max="70" width="54.85546875" style="44" hidden="1" customWidth="1"/>
    <col min="71" max="71" width="42.5703125" style="44" hidden="1" customWidth="1"/>
    <col min="72" max="72" width="44.85546875" hidden="1" customWidth="1"/>
    <col min="73" max="73" width="36.85546875" style="44" customWidth="1"/>
    <col min="74" max="74" width="38.85546875" style="44" customWidth="1"/>
    <col min="75" max="75" width="20.42578125" style="44" customWidth="1"/>
    <col min="76" max="76" width="36.85546875" style="44" hidden="1" customWidth="1"/>
    <col min="77" max="77" width="29.85546875" style="44" hidden="1" customWidth="1"/>
    <col min="78" max="78" width="20.42578125" style="44" hidden="1" customWidth="1"/>
    <col min="79" max="79" width="34.140625" style="44" hidden="1" customWidth="1"/>
    <col min="80" max="80" width="22.28515625" hidden="1" customWidth="1"/>
    <col min="81" max="81" width="36.85546875" style="44" customWidth="1"/>
    <col min="82" max="82" width="44.5703125" style="44" customWidth="1"/>
    <col min="83" max="83" width="46.140625" style="44" customWidth="1"/>
    <col min="84" max="84" width="36.85546875" style="97" customWidth="1"/>
    <col min="85" max="85" width="36.7109375" style="97" customWidth="1"/>
    <col min="86" max="86" width="46.140625" style="97" customWidth="1"/>
    <col min="87" max="87" width="53.7109375" style="107" customWidth="1"/>
    <col min="88" max="89" width="46.140625" style="107" customWidth="1"/>
    <col min="90" max="90" width="18" style="28" hidden="1" customWidth="1"/>
    <col min="91" max="91" width="18" style="28" bestFit="1" customWidth="1"/>
    <col min="92" max="128" width="11.42578125" style="28"/>
    <col min="129" max="129" width="255.7109375" style="28" customWidth="1"/>
    <col min="130" max="136" width="11.42578125" style="28"/>
  </cols>
  <sheetData>
    <row r="1" spans="4:89" ht="21" hidden="1" customHeight="1" x14ac:dyDescent="0.35">
      <c r="K1" s="2"/>
      <c r="L1" s="2"/>
      <c r="M1" s="2"/>
    </row>
    <row r="2" spans="4:89" ht="21" hidden="1" customHeight="1" x14ac:dyDescent="0.35">
      <c r="K2" s="2"/>
      <c r="L2" s="2"/>
      <c r="M2" s="2"/>
    </row>
    <row r="3" spans="4:89" ht="21" hidden="1" customHeight="1" x14ac:dyDescent="0.35">
      <c r="K3" s="2"/>
      <c r="L3" s="2"/>
      <c r="M3" s="2"/>
    </row>
    <row r="4" spans="4:89" ht="21" hidden="1" customHeight="1" x14ac:dyDescent="0.35">
      <c r="G4" s="1" t="s">
        <v>0</v>
      </c>
      <c r="K4" s="2"/>
      <c r="L4" s="2"/>
      <c r="M4" s="2"/>
    </row>
    <row r="5" spans="4:89" ht="21" hidden="1" customHeight="1" x14ac:dyDescent="0.35">
      <c r="K5" s="2"/>
      <c r="L5" s="2"/>
      <c r="M5" s="2"/>
    </row>
    <row r="6" spans="4:89" ht="21" hidden="1" customHeight="1" x14ac:dyDescent="0.35">
      <c r="K6" s="2"/>
      <c r="L6" s="2"/>
      <c r="M6" s="2"/>
    </row>
    <row r="7" spans="4:89" ht="21" hidden="1" customHeight="1" x14ac:dyDescent="0.35">
      <c r="K7" s="2"/>
      <c r="L7" s="2"/>
      <c r="M7" s="2"/>
    </row>
    <row r="8" spans="4:89" ht="21" hidden="1" customHeight="1" x14ac:dyDescent="0.35">
      <c r="K8" s="2"/>
      <c r="L8" s="2"/>
      <c r="M8" s="2"/>
    </row>
    <row r="9" spans="4:89" ht="21" hidden="1" customHeight="1" x14ac:dyDescent="0.35">
      <c r="K9" s="2"/>
      <c r="L9" s="2"/>
      <c r="M9" s="2"/>
    </row>
    <row r="10" spans="4:89" ht="21" hidden="1" customHeight="1" x14ac:dyDescent="0.55000000000000004">
      <c r="D10" s="457" t="s">
        <v>1</v>
      </c>
      <c r="E10" s="457"/>
      <c r="F10" s="457"/>
      <c r="G10" s="457"/>
      <c r="H10" s="457"/>
      <c r="I10" s="457"/>
      <c r="J10" s="457"/>
      <c r="K10" s="458" t="s">
        <v>2</v>
      </c>
      <c r="L10" s="458"/>
      <c r="M10" s="458"/>
      <c r="N10" s="458"/>
      <c r="O10" s="458"/>
      <c r="P10" s="458"/>
      <c r="Q10" s="458"/>
      <c r="R10" s="458"/>
      <c r="S10" s="78"/>
      <c r="T10" s="78"/>
      <c r="U10" s="78"/>
      <c r="V10" s="78"/>
      <c r="W10" s="78"/>
      <c r="X10" s="183"/>
      <c r="Y10" s="183"/>
      <c r="Z10" s="183"/>
      <c r="AA10" s="62"/>
      <c r="AB10" s="62"/>
      <c r="AC10" s="62"/>
      <c r="AD10" s="62"/>
      <c r="AE10" s="62"/>
      <c r="AF10" s="62"/>
      <c r="AG10" s="62"/>
      <c r="AH10" s="62"/>
      <c r="AI10" s="156"/>
      <c r="AJ10" s="156"/>
      <c r="AK10" s="183"/>
      <c r="AL10" s="192"/>
      <c r="AM10" s="183"/>
      <c r="AN10" s="166"/>
      <c r="AO10" s="166"/>
      <c r="AP10" s="166"/>
      <c r="AQ10" s="183"/>
      <c r="AR10" s="183"/>
      <c r="AS10" s="183"/>
      <c r="AT10" s="62"/>
      <c r="AU10" s="62"/>
      <c r="AV10" s="62"/>
      <c r="AW10" s="202"/>
      <c r="AX10" s="202"/>
      <c r="AY10" s="217"/>
      <c r="AZ10" s="217"/>
      <c r="BA10" s="217"/>
      <c r="BB10" s="217"/>
    </row>
    <row r="11" spans="4:89" ht="21" hidden="1" customHeight="1" x14ac:dyDescent="0.35">
      <c r="D11" s="446" t="s">
        <v>3</v>
      </c>
      <c r="E11" s="446" t="s">
        <v>4</v>
      </c>
      <c r="F11" s="446" t="s">
        <v>5</v>
      </c>
      <c r="G11" s="446" t="s">
        <v>6</v>
      </c>
      <c r="H11" s="446" t="s">
        <v>7</v>
      </c>
      <c r="I11" s="446" t="s">
        <v>8</v>
      </c>
      <c r="J11" s="446" t="s">
        <v>9</v>
      </c>
      <c r="K11" s="459" t="s">
        <v>10</v>
      </c>
      <c r="L11" s="443" t="s">
        <v>11</v>
      </c>
      <c r="M11" s="443" t="s">
        <v>12</v>
      </c>
      <c r="N11" s="445" t="s">
        <v>13</v>
      </c>
      <c r="O11" s="445"/>
      <c r="P11" s="445"/>
      <c r="Q11" s="4"/>
      <c r="R11" s="5"/>
      <c r="S11" s="79"/>
      <c r="T11" s="79"/>
      <c r="U11" s="79"/>
      <c r="V11" s="79"/>
      <c r="W11" s="79"/>
      <c r="X11" s="184"/>
      <c r="Y11" s="184"/>
      <c r="Z11" s="184"/>
      <c r="AA11" s="63"/>
      <c r="AB11" s="63"/>
      <c r="AC11" s="63"/>
      <c r="AD11" s="63"/>
      <c r="AE11" s="63"/>
      <c r="AF11" s="63"/>
      <c r="AG11" s="63"/>
      <c r="AH11" s="63"/>
      <c r="AI11" s="157"/>
      <c r="AJ11" s="157"/>
      <c r="AK11" s="184"/>
      <c r="AL11" s="193"/>
      <c r="AM11" s="184"/>
      <c r="AN11" s="167"/>
      <c r="AO11" s="167"/>
      <c r="AP11" s="167"/>
      <c r="AQ11" s="184"/>
      <c r="AR11" s="184"/>
      <c r="AS11" s="184"/>
      <c r="AT11" s="63"/>
      <c r="AU11" s="63"/>
      <c r="AV11" s="63"/>
      <c r="AW11" s="203"/>
      <c r="AX11" s="203"/>
      <c r="AY11" s="218"/>
      <c r="AZ11" s="218"/>
      <c r="BA11" s="218"/>
      <c r="BB11" s="218"/>
      <c r="BC11" s="6"/>
      <c r="BD11" s="60"/>
      <c r="BE11" s="85"/>
      <c r="BF11" s="85"/>
      <c r="BG11" s="446" t="s">
        <v>14</v>
      </c>
      <c r="BH11" s="7"/>
      <c r="BI11" s="448" t="s">
        <v>15</v>
      </c>
      <c r="BJ11" s="449"/>
      <c r="BK11" s="450"/>
      <c r="BL11" s="454" t="s">
        <v>16</v>
      </c>
      <c r="BM11" s="455"/>
      <c r="BN11" s="456"/>
    </row>
    <row r="12" spans="4:89" ht="218.25" customHeight="1" x14ac:dyDescent="0.25">
      <c r="D12" s="447"/>
      <c r="E12" s="447"/>
      <c r="F12" s="447"/>
      <c r="G12" s="447"/>
      <c r="H12" s="447"/>
      <c r="I12" s="447"/>
      <c r="J12" s="447"/>
      <c r="K12" s="460"/>
      <c r="L12" s="444"/>
      <c r="M12" s="444"/>
      <c r="N12" s="8" t="s">
        <v>17</v>
      </c>
      <c r="O12" s="9" t="s">
        <v>163</v>
      </c>
      <c r="P12" s="9" t="s">
        <v>164</v>
      </c>
      <c r="Q12" s="10" t="s">
        <v>18</v>
      </c>
      <c r="R12" s="11" t="s">
        <v>165</v>
      </c>
      <c r="S12" s="39" t="s">
        <v>177</v>
      </c>
      <c r="T12" s="39" t="s">
        <v>178</v>
      </c>
      <c r="U12" s="39" t="s">
        <v>179</v>
      </c>
      <c r="V12" s="39" t="s">
        <v>180</v>
      </c>
      <c r="W12" s="39" t="s">
        <v>181</v>
      </c>
      <c r="X12" s="185" t="s">
        <v>214</v>
      </c>
      <c r="Y12" s="185" t="s">
        <v>215</v>
      </c>
      <c r="Z12" s="185" t="s">
        <v>216</v>
      </c>
      <c r="AA12" s="11" t="s">
        <v>222</v>
      </c>
      <c r="AB12" s="11" t="s">
        <v>223</v>
      </c>
      <c r="AC12" s="11" t="s">
        <v>251</v>
      </c>
      <c r="AD12" s="11" t="s">
        <v>252</v>
      </c>
      <c r="AE12" s="11" t="s">
        <v>253</v>
      </c>
      <c r="AF12" s="82" t="s">
        <v>256</v>
      </c>
      <c r="AG12" s="82" t="s">
        <v>257</v>
      </c>
      <c r="AH12" s="82" t="s">
        <v>258</v>
      </c>
      <c r="AI12" s="158" t="s">
        <v>260</v>
      </c>
      <c r="AJ12" s="158" t="s">
        <v>261</v>
      </c>
      <c r="AK12" s="185" t="s">
        <v>262</v>
      </c>
      <c r="AL12" s="185" t="s">
        <v>263</v>
      </c>
      <c r="AM12" s="185" t="s">
        <v>362</v>
      </c>
      <c r="AN12" s="168" t="s">
        <v>300</v>
      </c>
      <c r="AO12" s="168" t="s">
        <v>301</v>
      </c>
      <c r="AP12" s="169" t="s">
        <v>302</v>
      </c>
      <c r="AQ12" s="185" t="s">
        <v>303</v>
      </c>
      <c r="AR12" s="185" t="s">
        <v>303</v>
      </c>
      <c r="AS12" s="185" t="s">
        <v>304</v>
      </c>
      <c r="AT12" s="200" t="s">
        <v>359</v>
      </c>
      <c r="AU12" s="200" t="s">
        <v>359</v>
      </c>
      <c r="AV12" s="200" t="s">
        <v>360</v>
      </c>
      <c r="AW12" s="204" t="s">
        <v>361</v>
      </c>
      <c r="AX12" s="204" t="s">
        <v>361</v>
      </c>
      <c r="AY12" s="219" t="s">
        <v>363</v>
      </c>
      <c r="AZ12" s="219" t="s">
        <v>366</v>
      </c>
      <c r="BA12" s="219" t="s">
        <v>364</v>
      </c>
      <c r="BB12" s="219" t="s">
        <v>364</v>
      </c>
      <c r="BC12" s="54" t="s">
        <v>220</v>
      </c>
      <c r="BD12" s="58" t="s">
        <v>221</v>
      </c>
      <c r="BE12" s="84" t="s">
        <v>265</v>
      </c>
      <c r="BF12" s="89" t="s">
        <v>305</v>
      </c>
      <c r="BG12" s="447"/>
      <c r="BH12" s="12" t="s">
        <v>19</v>
      </c>
      <c r="BI12" s="451"/>
      <c r="BJ12" s="452"/>
      <c r="BK12" s="453"/>
      <c r="BL12" s="12" t="s">
        <v>20</v>
      </c>
      <c r="BM12" s="12" t="s">
        <v>21</v>
      </c>
      <c r="BN12" s="12" t="s">
        <v>22</v>
      </c>
      <c r="BO12" s="11" t="s">
        <v>202</v>
      </c>
      <c r="BP12" s="48" t="s">
        <v>201</v>
      </c>
      <c r="BQ12" s="48" t="s">
        <v>203</v>
      </c>
      <c r="BR12" s="50" t="s">
        <v>217</v>
      </c>
      <c r="BS12" s="51" t="s">
        <v>218</v>
      </c>
      <c r="BT12" s="51" t="s">
        <v>219</v>
      </c>
      <c r="BU12" s="11" t="s">
        <v>241</v>
      </c>
      <c r="BV12" s="48" t="s">
        <v>242</v>
      </c>
      <c r="BW12" s="48" t="s">
        <v>243</v>
      </c>
      <c r="BX12" s="11" t="s">
        <v>202</v>
      </c>
      <c r="BY12" s="48" t="s">
        <v>201</v>
      </c>
      <c r="BZ12" s="48" t="s">
        <v>203</v>
      </c>
      <c r="CA12" s="50" t="s">
        <v>217</v>
      </c>
      <c r="CB12" s="52" t="s">
        <v>219</v>
      </c>
      <c r="CC12" s="11" t="s">
        <v>286</v>
      </c>
      <c r="CD12" s="48" t="s">
        <v>287</v>
      </c>
      <c r="CE12" s="48" t="s">
        <v>288</v>
      </c>
      <c r="CF12" s="39" t="s">
        <v>341</v>
      </c>
      <c r="CG12" s="98" t="s">
        <v>342</v>
      </c>
      <c r="CH12" s="106" t="s">
        <v>343</v>
      </c>
      <c r="CI12" s="11" t="s">
        <v>356</v>
      </c>
      <c r="CJ12" s="48" t="s">
        <v>358</v>
      </c>
      <c r="CK12" s="108" t="s">
        <v>357</v>
      </c>
    </row>
    <row r="13" spans="4:89" ht="15" customHeight="1" x14ac:dyDescent="0.25">
      <c r="D13" s="303" t="s">
        <v>23</v>
      </c>
      <c r="E13" s="303" t="s">
        <v>24</v>
      </c>
      <c r="F13" s="463" t="s">
        <v>25</v>
      </c>
      <c r="G13" s="292" t="s">
        <v>26</v>
      </c>
      <c r="H13" s="292" t="s">
        <v>27</v>
      </c>
      <c r="I13" s="292" t="s">
        <v>25</v>
      </c>
      <c r="J13" s="492">
        <v>27714</v>
      </c>
      <c r="K13" s="495" t="s">
        <v>25</v>
      </c>
      <c r="L13" s="416">
        <v>18476</v>
      </c>
      <c r="M13" s="420">
        <f>J13-18476</f>
        <v>9238</v>
      </c>
      <c r="N13" s="303" t="s">
        <v>28</v>
      </c>
      <c r="O13" s="416">
        <v>6397</v>
      </c>
      <c r="P13" s="486">
        <v>2310</v>
      </c>
      <c r="Q13" s="420" t="s">
        <v>166</v>
      </c>
      <c r="R13" s="486">
        <v>480</v>
      </c>
      <c r="S13" s="466">
        <v>5769</v>
      </c>
      <c r="T13" s="466">
        <v>240</v>
      </c>
      <c r="U13" s="399">
        <v>1</v>
      </c>
      <c r="V13" s="436">
        <v>1</v>
      </c>
      <c r="W13" s="432">
        <v>1</v>
      </c>
      <c r="X13" s="379">
        <f>T13/R13</f>
        <v>0.5</v>
      </c>
      <c r="Y13" s="341">
        <f>(X13+X23)/2</f>
        <v>0.75</v>
      </c>
      <c r="Z13" s="341">
        <v>0</v>
      </c>
      <c r="AA13" s="620">
        <f>AB23+AB13</f>
        <v>2310</v>
      </c>
      <c r="AB13" s="620">
        <f>240+120</f>
        <v>360</v>
      </c>
      <c r="AC13" s="583">
        <v>1</v>
      </c>
      <c r="AD13" s="583">
        <v>1</v>
      </c>
      <c r="AE13" s="327">
        <v>1</v>
      </c>
      <c r="AF13" s="239">
        <f>AB13/R13</f>
        <v>0.75</v>
      </c>
      <c r="AG13" s="235">
        <f>(AF13+AF23)/2</f>
        <v>0.875</v>
      </c>
      <c r="AH13" s="235">
        <f>(AG13+AG24+AG33+AG76+AG85+AG102+AG113)/7</f>
        <v>0.49782125430409152</v>
      </c>
      <c r="AI13" s="673">
        <v>0</v>
      </c>
      <c r="AJ13" s="385">
        <v>0</v>
      </c>
      <c r="AK13" s="379">
        <f>AJ13/R13</f>
        <v>0</v>
      </c>
      <c r="AL13" s="341">
        <f>AK13+AK23/2</f>
        <v>7.9234972677595626E-3</v>
      </c>
      <c r="AM13" s="341">
        <f>AL13+AL23/2</f>
        <v>7.9234972677595626E-3</v>
      </c>
      <c r="AN13" s="364">
        <v>0</v>
      </c>
      <c r="AO13" s="353">
        <v>0</v>
      </c>
      <c r="AP13" s="340">
        <f>AO13/R13</f>
        <v>0</v>
      </c>
      <c r="AQ13" s="341">
        <f>AP13+AP23/2</f>
        <v>0</v>
      </c>
      <c r="AR13" s="341">
        <f>AQ13+AQ23/2</f>
        <v>0</v>
      </c>
      <c r="AS13" s="350">
        <f>(AR13+AR24+AR33+AR76+AR85+AR102+AR113)/7</f>
        <v>0.13620554853510564</v>
      </c>
      <c r="AT13" s="327">
        <f>AX13/R13</f>
        <v>0.75</v>
      </c>
      <c r="AU13" s="327">
        <f>(AT13+AT23)/2</f>
        <v>0.875</v>
      </c>
      <c r="AV13" s="327">
        <f>(AU13+AU24+AU33+AU76+AU85+AU102+AU113)/7</f>
        <v>0.81193195817464481</v>
      </c>
      <c r="AW13" s="260">
        <f>AX13+AX23</f>
        <v>2339</v>
      </c>
      <c r="AX13" s="257">
        <f>AB13+AJ13+AO13</f>
        <v>360</v>
      </c>
      <c r="AY13" s="235">
        <f>AX13/R13</f>
        <v>0.75</v>
      </c>
      <c r="AZ13" s="226">
        <f>(AY13+AY23)/2</f>
        <v>0.875</v>
      </c>
      <c r="BA13" s="225">
        <f>(AY13+AY23)/2</f>
        <v>0.875</v>
      </c>
      <c r="BB13" s="229">
        <f>(BA13+BA24+BA33+BA76+BA85+BA102+BA113)/7</f>
        <v>0.78858085086594099</v>
      </c>
      <c r="BC13" s="356" t="s">
        <v>195</v>
      </c>
      <c r="BD13" s="356" t="s">
        <v>259</v>
      </c>
      <c r="BE13" s="356" t="s">
        <v>266</v>
      </c>
      <c r="BF13" s="356" t="s">
        <v>306</v>
      </c>
      <c r="BG13" s="300" t="s">
        <v>29</v>
      </c>
      <c r="BH13" s="489" t="s">
        <v>30</v>
      </c>
      <c r="BI13" s="689" t="s">
        <v>31</v>
      </c>
      <c r="BJ13" s="690"/>
      <c r="BK13" s="662"/>
      <c r="BL13" s="303" t="s">
        <v>25</v>
      </c>
      <c r="BM13" s="303" t="s">
        <v>289</v>
      </c>
      <c r="BN13" s="592">
        <v>3207208494</v>
      </c>
      <c r="BO13" s="313">
        <v>3207208494</v>
      </c>
      <c r="BP13" s="313">
        <v>2280420200</v>
      </c>
      <c r="BQ13" s="280">
        <f>BP13/BO13</f>
        <v>0.71102960854156427</v>
      </c>
      <c r="BR13" s="613">
        <v>4469208494</v>
      </c>
      <c r="BS13" s="613">
        <v>1890420200</v>
      </c>
      <c r="BT13" s="647">
        <f>BS13/BR13</f>
        <v>0.42298769514510814</v>
      </c>
      <c r="BU13" s="313">
        <v>3477208494</v>
      </c>
      <c r="BV13" s="313">
        <v>2754420200</v>
      </c>
      <c r="BW13" s="280">
        <f>BV13/BU13</f>
        <v>0.79213547440506171</v>
      </c>
      <c r="BX13" s="313"/>
      <c r="BY13" s="313"/>
      <c r="BZ13" s="280"/>
      <c r="CA13" s="686"/>
      <c r="CB13" s="647"/>
      <c r="CC13" s="313">
        <v>4588568494</v>
      </c>
      <c r="CD13" s="313">
        <v>3644960055</v>
      </c>
      <c r="CE13" s="280">
        <f>CD13/CC13</f>
        <v>0.79435668439212359</v>
      </c>
      <c r="CF13" s="288">
        <v>3974018660</v>
      </c>
      <c r="CG13" s="288">
        <v>3958342070</v>
      </c>
      <c r="CH13" s="286">
        <f>CG13/CF13</f>
        <v>0.99605522989668094</v>
      </c>
      <c r="CI13" s="274">
        <f>[1]IDER!$N$4</f>
        <v>4469208494</v>
      </c>
      <c r="CJ13" s="274">
        <v>3958342070</v>
      </c>
      <c r="CK13" s="280">
        <f>CJ13/CI13</f>
        <v>0.88569196879361345</v>
      </c>
    </row>
    <row r="14" spans="4:89" ht="15" customHeight="1" x14ac:dyDescent="0.25">
      <c r="D14" s="461"/>
      <c r="E14" s="308"/>
      <c r="F14" s="464"/>
      <c r="G14" s="293"/>
      <c r="H14" s="293"/>
      <c r="I14" s="293"/>
      <c r="J14" s="493"/>
      <c r="K14" s="496"/>
      <c r="L14" s="417"/>
      <c r="M14" s="421"/>
      <c r="N14" s="308"/>
      <c r="O14" s="417"/>
      <c r="P14" s="487"/>
      <c r="Q14" s="421"/>
      <c r="R14" s="487"/>
      <c r="S14" s="467"/>
      <c r="T14" s="467"/>
      <c r="U14" s="400"/>
      <c r="V14" s="437"/>
      <c r="W14" s="433"/>
      <c r="X14" s="379"/>
      <c r="Y14" s="342"/>
      <c r="Z14" s="342"/>
      <c r="AA14" s="621"/>
      <c r="AB14" s="621"/>
      <c r="AC14" s="584"/>
      <c r="AD14" s="584"/>
      <c r="AE14" s="328"/>
      <c r="AF14" s="239"/>
      <c r="AG14" s="236"/>
      <c r="AH14" s="236"/>
      <c r="AI14" s="674"/>
      <c r="AJ14" s="386"/>
      <c r="AK14" s="379"/>
      <c r="AL14" s="342"/>
      <c r="AM14" s="342"/>
      <c r="AN14" s="365"/>
      <c r="AO14" s="354"/>
      <c r="AP14" s="340"/>
      <c r="AQ14" s="342"/>
      <c r="AR14" s="342"/>
      <c r="AS14" s="351"/>
      <c r="AT14" s="328"/>
      <c r="AU14" s="328"/>
      <c r="AV14" s="328"/>
      <c r="AW14" s="261"/>
      <c r="AX14" s="258"/>
      <c r="AY14" s="236"/>
      <c r="AZ14" s="227"/>
      <c r="BA14" s="225"/>
      <c r="BB14" s="230"/>
      <c r="BC14" s="357"/>
      <c r="BD14" s="357"/>
      <c r="BE14" s="357"/>
      <c r="BF14" s="357"/>
      <c r="BG14" s="301"/>
      <c r="BH14" s="490"/>
      <c r="BI14" s="691"/>
      <c r="BJ14" s="692"/>
      <c r="BK14" s="663"/>
      <c r="BL14" s="308"/>
      <c r="BM14" s="308"/>
      <c r="BN14" s="593"/>
      <c r="BO14" s="314"/>
      <c r="BP14" s="314"/>
      <c r="BQ14" s="281"/>
      <c r="BR14" s="614"/>
      <c r="BS14" s="614"/>
      <c r="BT14" s="648"/>
      <c r="BU14" s="314"/>
      <c r="BV14" s="314"/>
      <c r="BW14" s="281"/>
      <c r="BX14" s="314"/>
      <c r="BY14" s="314"/>
      <c r="BZ14" s="281"/>
      <c r="CA14" s="687"/>
      <c r="CB14" s="648"/>
      <c r="CC14" s="314"/>
      <c r="CD14" s="314"/>
      <c r="CE14" s="281"/>
      <c r="CF14" s="289"/>
      <c r="CG14" s="289"/>
      <c r="CH14" s="291"/>
      <c r="CI14" s="275"/>
      <c r="CJ14" s="275"/>
      <c r="CK14" s="281"/>
    </row>
    <row r="15" spans="4:89" ht="15" customHeight="1" x14ac:dyDescent="0.25">
      <c r="D15" s="461"/>
      <c r="E15" s="308"/>
      <c r="F15" s="464"/>
      <c r="G15" s="293"/>
      <c r="H15" s="293"/>
      <c r="I15" s="293"/>
      <c r="J15" s="493"/>
      <c r="K15" s="496"/>
      <c r="L15" s="417"/>
      <c r="M15" s="421"/>
      <c r="N15" s="308"/>
      <c r="O15" s="417"/>
      <c r="P15" s="487"/>
      <c r="Q15" s="421"/>
      <c r="R15" s="487"/>
      <c r="S15" s="467"/>
      <c r="T15" s="467"/>
      <c r="U15" s="400"/>
      <c r="V15" s="437"/>
      <c r="W15" s="433"/>
      <c r="X15" s="379"/>
      <c r="Y15" s="342"/>
      <c r="Z15" s="342"/>
      <c r="AA15" s="621"/>
      <c r="AB15" s="621"/>
      <c r="AC15" s="584"/>
      <c r="AD15" s="584"/>
      <c r="AE15" s="328"/>
      <c r="AF15" s="239"/>
      <c r="AG15" s="236"/>
      <c r="AH15" s="236"/>
      <c r="AI15" s="674"/>
      <c r="AJ15" s="386"/>
      <c r="AK15" s="379"/>
      <c r="AL15" s="342"/>
      <c r="AM15" s="342"/>
      <c r="AN15" s="365"/>
      <c r="AO15" s="354"/>
      <c r="AP15" s="340"/>
      <c r="AQ15" s="342"/>
      <c r="AR15" s="342"/>
      <c r="AS15" s="351"/>
      <c r="AT15" s="328"/>
      <c r="AU15" s="328"/>
      <c r="AV15" s="328"/>
      <c r="AW15" s="261"/>
      <c r="AX15" s="258"/>
      <c r="AY15" s="236"/>
      <c r="AZ15" s="227"/>
      <c r="BA15" s="225"/>
      <c r="BB15" s="230"/>
      <c r="BC15" s="357"/>
      <c r="BD15" s="357"/>
      <c r="BE15" s="357"/>
      <c r="BF15" s="357"/>
      <c r="BG15" s="301"/>
      <c r="BH15" s="490"/>
      <c r="BI15" s="691"/>
      <c r="BJ15" s="692"/>
      <c r="BK15" s="663"/>
      <c r="BL15" s="308"/>
      <c r="BM15" s="308"/>
      <c r="BN15" s="593"/>
      <c r="BO15" s="314"/>
      <c r="BP15" s="314"/>
      <c r="BQ15" s="281"/>
      <c r="BR15" s="614"/>
      <c r="BS15" s="614"/>
      <c r="BT15" s="648"/>
      <c r="BU15" s="314"/>
      <c r="BV15" s="314"/>
      <c r="BW15" s="281"/>
      <c r="BX15" s="314"/>
      <c r="BY15" s="314"/>
      <c r="BZ15" s="281"/>
      <c r="CA15" s="687"/>
      <c r="CB15" s="648"/>
      <c r="CC15" s="314"/>
      <c r="CD15" s="314"/>
      <c r="CE15" s="281"/>
      <c r="CF15" s="289"/>
      <c r="CG15" s="289"/>
      <c r="CH15" s="291"/>
      <c r="CI15" s="275"/>
      <c r="CJ15" s="275"/>
      <c r="CK15" s="281"/>
    </row>
    <row r="16" spans="4:89" ht="15" customHeight="1" x14ac:dyDescent="0.25">
      <c r="D16" s="461"/>
      <c r="E16" s="308"/>
      <c r="F16" s="464"/>
      <c r="G16" s="293"/>
      <c r="H16" s="293"/>
      <c r="I16" s="293"/>
      <c r="J16" s="493"/>
      <c r="K16" s="496"/>
      <c r="L16" s="417"/>
      <c r="M16" s="421"/>
      <c r="N16" s="308"/>
      <c r="O16" s="417"/>
      <c r="P16" s="487"/>
      <c r="Q16" s="421"/>
      <c r="R16" s="487"/>
      <c r="S16" s="467"/>
      <c r="T16" s="467"/>
      <c r="U16" s="400"/>
      <c r="V16" s="437"/>
      <c r="W16" s="433"/>
      <c r="X16" s="379"/>
      <c r="Y16" s="342"/>
      <c r="Z16" s="342"/>
      <c r="AA16" s="621"/>
      <c r="AB16" s="621"/>
      <c r="AC16" s="584"/>
      <c r="AD16" s="584"/>
      <c r="AE16" s="328"/>
      <c r="AF16" s="239"/>
      <c r="AG16" s="236"/>
      <c r="AH16" s="236"/>
      <c r="AI16" s="674"/>
      <c r="AJ16" s="386"/>
      <c r="AK16" s="379"/>
      <c r="AL16" s="342"/>
      <c r="AM16" s="342"/>
      <c r="AN16" s="365"/>
      <c r="AO16" s="354"/>
      <c r="AP16" s="340"/>
      <c r="AQ16" s="342"/>
      <c r="AR16" s="342"/>
      <c r="AS16" s="351"/>
      <c r="AT16" s="328"/>
      <c r="AU16" s="328"/>
      <c r="AV16" s="328"/>
      <c r="AW16" s="261"/>
      <c r="AX16" s="258"/>
      <c r="AY16" s="236"/>
      <c r="AZ16" s="227"/>
      <c r="BA16" s="225"/>
      <c r="BB16" s="230"/>
      <c r="BC16" s="357"/>
      <c r="BD16" s="357"/>
      <c r="BE16" s="357"/>
      <c r="BF16" s="357"/>
      <c r="BG16" s="301"/>
      <c r="BH16" s="490"/>
      <c r="BI16" s="691"/>
      <c r="BJ16" s="692"/>
      <c r="BK16" s="663"/>
      <c r="BL16" s="308"/>
      <c r="BM16" s="308"/>
      <c r="BN16" s="593"/>
      <c r="BO16" s="314"/>
      <c r="BP16" s="314"/>
      <c r="BQ16" s="281"/>
      <c r="BR16" s="614"/>
      <c r="BS16" s="614"/>
      <c r="BT16" s="648"/>
      <c r="BU16" s="314"/>
      <c r="BV16" s="314"/>
      <c r="BW16" s="281"/>
      <c r="BX16" s="314"/>
      <c r="BY16" s="314"/>
      <c r="BZ16" s="281"/>
      <c r="CA16" s="687"/>
      <c r="CB16" s="648"/>
      <c r="CC16" s="314"/>
      <c r="CD16" s="314"/>
      <c r="CE16" s="281"/>
      <c r="CF16" s="289"/>
      <c r="CG16" s="289"/>
      <c r="CH16" s="291"/>
      <c r="CI16" s="275"/>
      <c r="CJ16" s="275"/>
      <c r="CK16" s="281"/>
    </row>
    <row r="17" spans="4:89" ht="15" customHeight="1" x14ac:dyDescent="0.25">
      <c r="D17" s="461"/>
      <c r="E17" s="308"/>
      <c r="F17" s="464"/>
      <c r="G17" s="293"/>
      <c r="H17" s="293"/>
      <c r="I17" s="293"/>
      <c r="J17" s="493"/>
      <c r="K17" s="496"/>
      <c r="L17" s="417"/>
      <c r="M17" s="421"/>
      <c r="N17" s="308"/>
      <c r="O17" s="417"/>
      <c r="P17" s="487"/>
      <c r="Q17" s="421"/>
      <c r="R17" s="487"/>
      <c r="S17" s="467"/>
      <c r="T17" s="467"/>
      <c r="U17" s="400"/>
      <c r="V17" s="437"/>
      <c r="W17" s="433"/>
      <c r="X17" s="379"/>
      <c r="Y17" s="342"/>
      <c r="Z17" s="342"/>
      <c r="AA17" s="621"/>
      <c r="AB17" s="621"/>
      <c r="AC17" s="584"/>
      <c r="AD17" s="584"/>
      <c r="AE17" s="328"/>
      <c r="AF17" s="239"/>
      <c r="AG17" s="236"/>
      <c r="AH17" s="236"/>
      <c r="AI17" s="674"/>
      <c r="AJ17" s="386"/>
      <c r="AK17" s="379"/>
      <c r="AL17" s="342"/>
      <c r="AM17" s="342"/>
      <c r="AN17" s="365"/>
      <c r="AO17" s="354"/>
      <c r="AP17" s="340"/>
      <c r="AQ17" s="342"/>
      <c r="AR17" s="342"/>
      <c r="AS17" s="351"/>
      <c r="AT17" s="328"/>
      <c r="AU17" s="328"/>
      <c r="AV17" s="328"/>
      <c r="AW17" s="261"/>
      <c r="AX17" s="258"/>
      <c r="AY17" s="236"/>
      <c r="AZ17" s="227"/>
      <c r="BA17" s="225"/>
      <c r="BB17" s="230"/>
      <c r="BC17" s="357"/>
      <c r="BD17" s="357"/>
      <c r="BE17" s="357"/>
      <c r="BF17" s="357"/>
      <c r="BG17" s="301"/>
      <c r="BH17" s="490"/>
      <c r="BI17" s="691"/>
      <c r="BJ17" s="692"/>
      <c r="BK17" s="663"/>
      <c r="BL17" s="308"/>
      <c r="BM17" s="308"/>
      <c r="BN17" s="593"/>
      <c r="BO17" s="314"/>
      <c r="BP17" s="314"/>
      <c r="BQ17" s="281"/>
      <c r="BR17" s="614"/>
      <c r="BS17" s="614"/>
      <c r="BT17" s="648"/>
      <c r="BU17" s="314"/>
      <c r="BV17" s="314"/>
      <c r="BW17" s="281"/>
      <c r="BX17" s="314"/>
      <c r="BY17" s="314"/>
      <c r="BZ17" s="281"/>
      <c r="CA17" s="687"/>
      <c r="CB17" s="648"/>
      <c r="CC17" s="314"/>
      <c r="CD17" s="314"/>
      <c r="CE17" s="281"/>
      <c r="CF17" s="289"/>
      <c r="CG17" s="289"/>
      <c r="CH17" s="291"/>
      <c r="CI17" s="275"/>
      <c r="CJ17" s="275"/>
      <c r="CK17" s="281"/>
    </row>
    <row r="18" spans="4:89" ht="15" customHeight="1" x14ac:dyDescent="0.25">
      <c r="D18" s="461"/>
      <c r="E18" s="308"/>
      <c r="F18" s="464"/>
      <c r="G18" s="293"/>
      <c r="H18" s="293"/>
      <c r="I18" s="293"/>
      <c r="J18" s="493"/>
      <c r="K18" s="496"/>
      <c r="L18" s="417"/>
      <c r="M18" s="421"/>
      <c r="N18" s="308"/>
      <c r="O18" s="417"/>
      <c r="P18" s="487"/>
      <c r="Q18" s="421"/>
      <c r="R18" s="487"/>
      <c r="S18" s="467"/>
      <c r="T18" s="467"/>
      <c r="U18" s="400"/>
      <c r="V18" s="437"/>
      <c r="W18" s="433"/>
      <c r="X18" s="379"/>
      <c r="Y18" s="342"/>
      <c r="Z18" s="342"/>
      <c r="AA18" s="621"/>
      <c r="AB18" s="621"/>
      <c r="AC18" s="584"/>
      <c r="AD18" s="584"/>
      <c r="AE18" s="328"/>
      <c r="AF18" s="239"/>
      <c r="AG18" s="236"/>
      <c r="AH18" s="236"/>
      <c r="AI18" s="674"/>
      <c r="AJ18" s="386"/>
      <c r="AK18" s="379"/>
      <c r="AL18" s="342"/>
      <c r="AM18" s="342"/>
      <c r="AN18" s="365"/>
      <c r="AO18" s="354"/>
      <c r="AP18" s="340"/>
      <c r="AQ18" s="342"/>
      <c r="AR18" s="342"/>
      <c r="AS18" s="351"/>
      <c r="AT18" s="328"/>
      <c r="AU18" s="328"/>
      <c r="AV18" s="328"/>
      <c r="AW18" s="261"/>
      <c r="AX18" s="258"/>
      <c r="AY18" s="236"/>
      <c r="AZ18" s="227"/>
      <c r="BA18" s="225"/>
      <c r="BB18" s="230"/>
      <c r="BC18" s="357"/>
      <c r="BD18" s="357"/>
      <c r="BE18" s="357"/>
      <c r="BF18" s="357"/>
      <c r="BG18" s="301"/>
      <c r="BH18" s="490"/>
      <c r="BI18" s="691"/>
      <c r="BJ18" s="692"/>
      <c r="BK18" s="663"/>
      <c r="BL18" s="308"/>
      <c r="BM18" s="308"/>
      <c r="BN18" s="593"/>
      <c r="BO18" s="314"/>
      <c r="BP18" s="314"/>
      <c r="BQ18" s="281"/>
      <c r="BR18" s="614"/>
      <c r="BS18" s="614"/>
      <c r="BT18" s="648"/>
      <c r="BU18" s="314"/>
      <c r="BV18" s="314"/>
      <c r="BW18" s="281"/>
      <c r="BX18" s="314"/>
      <c r="BY18" s="314"/>
      <c r="BZ18" s="281"/>
      <c r="CA18" s="687"/>
      <c r="CB18" s="648"/>
      <c r="CC18" s="314"/>
      <c r="CD18" s="314"/>
      <c r="CE18" s="281"/>
      <c r="CF18" s="289"/>
      <c r="CG18" s="289"/>
      <c r="CH18" s="291"/>
      <c r="CI18" s="275"/>
      <c r="CJ18" s="275"/>
      <c r="CK18" s="281"/>
    </row>
    <row r="19" spans="4:89" ht="94.5" customHeight="1" x14ac:dyDescent="0.25">
      <c r="D19" s="461"/>
      <c r="E19" s="308"/>
      <c r="F19" s="464"/>
      <c r="G19" s="293"/>
      <c r="H19" s="293"/>
      <c r="I19" s="293"/>
      <c r="J19" s="493"/>
      <c r="K19" s="496"/>
      <c r="L19" s="417"/>
      <c r="M19" s="421"/>
      <c r="N19" s="308"/>
      <c r="O19" s="417"/>
      <c r="P19" s="487"/>
      <c r="Q19" s="421"/>
      <c r="R19" s="487"/>
      <c r="S19" s="467"/>
      <c r="T19" s="467"/>
      <c r="U19" s="400"/>
      <c r="V19" s="437"/>
      <c r="W19" s="433"/>
      <c r="X19" s="379"/>
      <c r="Y19" s="342"/>
      <c r="Z19" s="342"/>
      <c r="AA19" s="621"/>
      <c r="AB19" s="621"/>
      <c r="AC19" s="584"/>
      <c r="AD19" s="584"/>
      <c r="AE19" s="328"/>
      <c r="AF19" s="239"/>
      <c r="AG19" s="236"/>
      <c r="AH19" s="236"/>
      <c r="AI19" s="674"/>
      <c r="AJ19" s="386"/>
      <c r="AK19" s="379"/>
      <c r="AL19" s="342"/>
      <c r="AM19" s="342"/>
      <c r="AN19" s="365"/>
      <c r="AO19" s="354"/>
      <c r="AP19" s="340"/>
      <c r="AQ19" s="342"/>
      <c r="AR19" s="342"/>
      <c r="AS19" s="351"/>
      <c r="AT19" s="328"/>
      <c r="AU19" s="328"/>
      <c r="AV19" s="328"/>
      <c r="AW19" s="261"/>
      <c r="AX19" s="258"/>
      <c r="AY19" s="236"/>
      <c r="AZ19" s="227"/>
      <c r="BA19" s="225"/>
      <c r="BB19" s="230"/>
      <c r="BC19" s="357"/>
      <c r="BD19" s="357"/>
      <c r="BE19" s="357"/>
      <c r="BF19" s="357"/>
      <c r="BG19" s="301"/>
      <c r="BH19" s="490"/>
      <c r="BI19" s="691"/>
      <c r="BJ19" s="692"/>
      <c r="BK19" s="663"/>
      <c r="BL19" s="308"/>
      <c r="BM19" s="308"/>
      <c r="BN19" s="593"/>
      <c r="BO19" s="314"/>
      <c r="BP19" s="314"/>
      <c r="BQ19" s="281"/>
      <c r="BR19" s="614"/>
      <c r="BS19" s="614"/>
      <c r="BT19" s="648"/>
      <c r="BU19" s="314"/>
      <c r="BV19" s="314"/>
      <c r="BW19" s="281"/>
      <c r="BX19" s="314"/>
      <c r="BY19" s="314"/>
      <c r="BZ19" s="281"/>
      <c r="CA19" s="687"/>
      <c r="CB19" s="648"/>
      <c r="CC19" s="314"/>
      <c r="CD19" s="314"/>
      <c r="CE19" s="281"/>
      <c r="CF19" s="289"/>
      <c r="CG19" s="289"/>
      <c r="CH19" s="291"/>
      <c r="CI19" s="275"/>
      <c r="CJ19" s="275"/>
      <c r="CK19" s="281"/>
    </row>
    <row r="20" spans="4:89" ht="15" customHeight="1" x14ac:dyDescent="0.25">
      <c r="D20" s="461"/>
      <c r="E20" s="308"/>
      <c r="F20" s="464"/>
      <c r="G20" s="293"/>
      <c r="H20" s="293"/>
      <c r="I20" s="293"/>
      <c r="J20" s="493"/>
      <c r="K20" s="496"/>
      <c r="L20" s="417"/>
      <c r="M20" s="421"/>
      <c r="N20" s="308"/>
      <c r="O20" s="417"/>
      <c r="P20" s="487"/>
      <c r="Q20" s="421"/>
      <c r="R20" s="487"/>
      <c r="S20" s="467"/>
      <c r="T20" s="467"/>
      <c r="U20" s="400"/>
      <c r="V20" s="437"/>
      <c r="W20" s="433"/>
      <c r="X20" s="379"/>
      <c r="Y20" s="342"/>
      <c r="Z20" s="342"/>
      <c r="AA20" s="621"/>
      <c r="AB20" s="621"/>
      <c r="AC20" s="584"/>
      <c r="AD20" s="584"/>
      <c r="AE20" s="328"/>
      <c r="AF20" s="239"/>
      <c r="AG20" s="236"/>
      <c r="AH20" s="236"/>
      <c r="AI20" s="674"/>
      <c r="AJ20" s="386"/>
      <c r="AK20" s="379"/>
      <c r="AL20" s="342"/>
      <c r="AM20" s="342"/>
      <c r="AN20" s="365"/>
      <c r="AO20" s="354"/>
      <c r="AP20" s="340"/>
      <c r="AQ20" s="342"/>
      <c r="AR20" s="342"/>
      <c r="AS20" s="351"/>
      <c r="AT20" s="328"/>
      <c r="AU20" s="328"/>
      <c r="AV20" s="328"/>
      <c r="AW20" s="261"/>
      <c r="AX20" s="258"/>
      <c r="AY20" s="236"/>
      <c r="AZ20" s="227"/>
      <c r="BA20" s="225"/>
      <c r="BB20" s="230"/>
      <c r="BC20" s="357"/>
      <c r="BD20" s="357"/>
      <c r="BE20" s="357"/>
      <c r="BF20" s="357"/>
      <c r="BG20" s="301"/>
      <c r="BH20" s="490"/>
      <c r="BI20" s="691"/>
      <c r="BJ20" s="692"/>
      <c r="BK20" s="663"/>
      <c r="BL20" s="308"/>
      <c r="BM20" s="308"/>
      <c r="BN20" s="593"/>
      <c r="BO20" s="314"/>
      <c r="BP20" s="314"/>
      <c r="BQ20" s="281"/>
      <c r="BR20" s="614"/>
      <c r="BS20" s="614"/>
      <c r="BT20" s="648"/>
      <c r="BU20" s="314"/>
      <c r="BV20" s="314"/>
      <c r="BW20" s="281"/>
      <c r="BX20" s="314"/>
      <c r="BY20" s="314"/>
      <c r="BZ20" s="281"/>
      <c r="CA20" s="687"/>
      <c r="CB20" s="648"/>
      <c r="CC20" s="314"/>
      <c r="CD20" s="314"/>
      <c r="CE20" s="281"/>
      <c r="CF20" s="289"/>
      <c r="CG20" s="289"/>
      <c r="CH20" s="291"/>
      <c r="CI20" s="275"/>
      <c r="CJ20" s="275"/>
      <c r="CK20" s="281"/>
    </row>
    <row r="21" spans="4:89" ht="15" customHeight="1" x14ac:dyDescent="0.25">
      <c r="D21" s="461"/>
      <c r="E21" s="308"/>
      <c r="F21" s="464"/>
      <c r="G21" s="293"/>
      <c r="H21" s="293"/>
      <c r="I21" s="293"/>
      <c r="J21" s="493"/>
      <c r="K21" s="496"/>
      <c r="L21" s="417"/>
      <c r="M21" s="421"/>
      <c r="N21" s="308"/>
      <c r="O21" s="417"/>
      <c r="P21" s="487"/>
      <c r="Q21" s="421"/>
      <c r="R21" s="487"/>
      <c r="S21" s="467"/>
      <c r="T21" s="467"/>
      <c r="U21" s="400"/>
      <c r="V21" s="437"/>
      <c r="W21" s="433"/>
      <c r="X21" s="379"/>
      <c r="Y21" s="342"/>
      <c r="Z21" s="342"/>
      <c r="AA21" s="621"/>
      <c r="AB21" s="621"/>
      <c r="AC21" s="584"/>
      <c r="AD21" s="584"/>
      <c r="AE21" s="328"/>
      <c r="AF21" s="239"/>
      <c r="AG21" s="236"/>
      <c r="AH21" s="236"/>
      <c r="AI21" s="674"/>
      <c r="AJ21" s="386"/>
      <c r="AK21" s="379"/>
      <c r="AL21" s="342"/>
      <c r="AM21" s="342"/>
      <c r="AN21" s="365"/>
      <c r="AO21" s="354"/>
      <c r="AP21" s="340"/>
      <c r="AQ21" s="342"/>
      <c r="AR21" s="342"/>
      <c r="AS21" s="351"/>
      <c r="AT21" s="328"/>
      <c r="AU21" s="328"/>
      <c r="AV21" s="328"/>
      <c r="AW21" s="261"/>
      <c r="AX21" s="258"/>
      <c r="AY21" s="236"/>
      <c r="AZ21" s="227"/>
      <c r="BA21" s="225"/>
      <c r="BB21" s="230"/>
      <c r="BC21" s="357"/>
      <c r="BD21" s="357"/>
      <c r="BE21" s="357"/>
      <c r="BF21" s="357"/>
      <c r="BG21" s="301"/>
      <c r="BH21" s="490"/>
      <c r="BI21" s="691"/>
      <c r="BJ21" s="692"/>
      <c r="BK21" s="663"/>
      <c r="BL21" s="308"/>
      <c r="BM21" s="308"/>
      <c r="BN21" s="593"/>
      <c r="BO21" s="314"/>
      <c r="BP21" s="314"/>
      <c r="BQ21" s="281"/>
      <c r="BR21" s="614"/>
      <c r="BS21" s="614"/>
      <c r="BT21" s="648"/>
      <c r="BU21" s="314"/>
      <c r="BV21" s="314"/>
      <c r="BW21" s="281"/>
      <c r="BX21" s="314"/>
      <c r="BY21" s="314"/>
      <c r="BZ21" s="281"/>
      <c r="CA21" s="687"/>
      <c r="CB21" s="648"/>
      <c r="CC21" s="314"/>
      <c r="CD21" s="314"/>
      <c r="CE21" s="281"/>
      <c r="CF21" s="289"/>
      <c r="CG21" s="289"/>
      <c r="CH21" s="291"/>
      <c r="CI21" s="275"/>
      <c r="CJ21" s="275"/>
      <c r="CK21" s="281"/>
    </row>
    <row r="22" spans="4:89" ht="15" customHeight="1" x14ac:dyDescent="0.25">
      <c r="D22" s="461"/>
      <c r="E22" s="308"/>
      <c r="F22" s="464"/>
      <c r="G22" s="293"/>
      <c r="H22" s="293"/>
      <c r="I22" s="293"/>
      <c r="J22" s="493"/>
      <c r="K22" s="496"/>
      <c r="L22" s="417"/>
      <c r="M22" s="421"/>
      <c r="N22" s="308"/>
      <c r="O22" s="417"/>
      <c r="P22" s="487"/>
      <c r="Q22" s="422"/>
      <c r="R22" s="488"/>
      <c r="S22" s="467"/>
      <c r="T22" s="468"/>
      <c r="U22" s="400"/>
      <c r="V22" s="437"/>
      <c r="W22" s="433"/>
      <c r="X22" s="379"/>
      <c r="Y22" s="342"/>
      <c r="Z22" s="342"/>
      <c r="AA22" s="621"/>
      <c r="AB22" s="622"/>
      <c r="AC22" s="584"/>
      <c r="AD22" s="584"/>
      <c r="AE22" s="328"/>
      <c r="AF22" s="239"/>
      <c r="AG22" s="236"/>
      <c r="AH22" s="236"/>
      <c r="AI22" s="674"/>
      <c r="AJ22" s="387"/>
      <c r="AK22" s="379"/>
      <c r="AL22" s="342"/>
      <c r="AM22" s="342"/>
      <c r="AN22" s="365"/>
      <c r="AO22" s="355"/>
      <c r="AP22" s="340"/>
      <c r="AQ22" s="342"/>
      <c r="AR22" s="342"/>
      <c r="AS22" s="351"/>
      <c r="AT22" s="329"/>
      <c r="AU22" s="328"/>
      <c r="AV22" s="328"/>
      <c r="AW22" s="261"/>
      <c r="AX22" s="259"/>
      <c r="AY22" s="237"/>
      <c r="AZ22" s="227"/>
      <c r="BA22" s="225"/>
      <c r="BB22" s="230"/>
      <c r="BC22" s="357"/>
      <c r="BD22" s="357"/>
      <c r="BE22" s="357"/>
      <c r="BF22" s="357"/>
      <c r="BG22" s="301"/>
      <c r="BH22" s="490"/>
      <c r="BI22" s="691"/>
      <c r="BJ22" s="692"/>
      <c r="BK22" s="663"/>
      <c r="BL22" s="308"/>
      <c r="BM22" s="308"/>
      <c r="BN22" s="593"/>
      <c r="BO22" s="314"/>
      <c r="BP22" s="314"/>
      <c r="BQ22" s="281"/>
      <c r="BR22" s="614"/>
      <c r="BS22" s="614"/>
      <c r="BT22" s="648"/>
      <c r="BU22" s="314"/>
      <c r="BV22" s="314"/>
      <c r="BW22" s="281"/>
      <c r="BX22" s="314"/>
      <c r="BY22" s="314"/>
      <c r="BZ22" s="281"/>
      <c r="CA22" s="687"/>
      <c r="CB22" s="648"/>
      <c r="CC22" s="314"/>
      <c r="CD22" s="314"/>
      <c r="CE22" s="281"/>
      <c r="CF22" s="289"/>
      <c r="CG22" s="289"/>
      <c r="CH22" s="291"/>
      <c r="CI22" s="275"/>
      <c r="CJ22" s="275"/>
      <c r="CK22" s="281"/>
    </row>
    <row r="23" spans="4:89" ht="216.75" customHeight="1" x14ac:dyDescent="0.25">
      <c r="D23" s="461"/>
      <c r="E23" s="308"/>
      <c r="F23" s="465"/>
      <c r="G23" s="294"/>
      <c r="H23" s="294"/>
      <c r="I23" s="294"/>
      <c r="J23" s="494"/>
      <c r="K23" s="497"/>
      <c r="L23" s="418"/>
      <c r="M23" s="422"/>
      <c r="N23" s="304"/>
      <c r="O23" s="418"/>
      <c r="P23" s="488"/>
      <c r="Q23" s="13" t="s">
        <v>32</v>
      </c>
      <c r="R23" s="14">
        <v>1830</v>
      </c>
      <c r="S23" s="468"/>
      <c r="T23" s="127">
        <f>S13-T13</f>
        <v>5529</v>
      </c>
      <c r="U23" s="401"/>
      <c r="V23" s="438"/>
      <c r="W23" s="434"/>
      <c r="X23" s="194">
        <v>1</v>
      </c>
      <c r="Y23" s="343"/>
      <c r="Z23" s="342"/>
      <c r="AA23" s="622"/>
      <c r="AB23" s="148">
        <v>1950</v>
      </c>
      <c r="AC23" s="585"/>
      <c r="AD23" s="585"/>
      <c r="AE23" s="329"/>
      <c r="AF23" s="112">
        <v>1</v>
      </c>
      <c r="AG23" s="237"/>
      <c r="AH23" s="236"/>
      <c r="AI23" s="675"/>
      <c r="AJ23" s="122">
        <f>4988-4959</f>
        <v>29</v>
      </c>
      <c r="AK23" s="194">
        <f>AJ23/R23</f>
        <v>1.5846994535519125E-2</v>
      </c>
      <c r="AL23" s="343"/>
      <c r="AM23" s="343"/>
      <c r="AN23" s="366"/>
      <c r="AO23" s="170">
        <v>0</v>
      </c>
      <c r="AP23" s="171">
        <f>AO23/R23</f>
        <v>0</v>
      </c>
      <c r="AQ23" s="343"/>
      <c r="AR23" s="343"/>
      <c r="AS23" s="351"/>
      <c r="AT23" s="113">
        <v>1</v>
      </c>
      <c r="AU23" s="329"/>
      <c r="AV23" s="328"/>
      <c r="AW23" s="261"/>
      <c r="AX23" s="205">
        <f>AB23+AJ23+AO23</f>
        <v>1979</v>
      </c>
      <c r="AY23" s="130">
        <v>1</v>
      </c>
      <c r="AZ23" s="228"/>
      <c r="BA23" s="225"/>
      <c r="BB23" s="230"/>
      <c r="BC23" s="358"/>
      <c r="BD23" s="358"/>
      <c r="BE23" s="358"/>
      <c r="BF23" s="358"/>
      <c r="BG23" s="302"/>
      <c r="BH23" s="491"/>
      <c r="BI23" s="693"/>
      <c r="BJ23" s="694"/>
      <c r="BK23" s="695"/>
      <c r="BL23" s="304"/>
      <c r="BM23" s="304"/>
      <c r="BN23" s="594"/>
      <c r="BO23" s="315"/>
      <c r="BP23" s="315"/>
      <c r="BQ23" s="282"/>
      <c r="BR23" s="615"/>
      <c r="BS23" s="615"/>
      <c r="BT23" s="649"/>
      <c r="BU23" s="315"/>
      <c r="BV23" s="315"/>
      <c r="BW23" s="282"/>
      <c r="BX23" s="315"/>
      <c r="BY23" s="315"/>
      <c r="BZ23" s="282"/>
      <c r="CA23" s="688"/>
      <c r="CB23" s="649"/>
      <c r="CC23" s="315"/>
      <c r="CD23" s="315"/>
      <c r="CE23" s="282"/>
      <c r="CF23" s="290"/>
      <c r="CG23" s="290"/>
      <c r="CH23" s="287"/>
      <c r="CI23" s="276"/>
      <c r="CJ23" s="276"/>
      <c r="CK23" s="282"/>
    </row>
    <row r="24" spans="4:89" ht="15" customHeight="1" x14ac:dyDescent="0.25">
      <c r="D24" s="461"/>
      <c r="E24" s="308"/>
      <c r="F24" s="480" t="s">
        <v>33</v>
      </c>
      <c r="G24" s="292" t="s">
        <v>34</v>
      </c>
      <c r="H24" s="292" t="s">
        <v>35</v>
      </c>
      <c r="I24" s="292" t="s">
        <v>33</v>
      </c>
      <c r="J24" s="483">
        <v>30932</v>
      </c>
      <c r="K24" s="303" t="s">
        <v>33</v>
      </c>
      <c r="L24" s="502">
        <v>20757</v>
      </c>
      <c r="M24" s="502">
        <f>J24-20757</f>
        <v>10175</v>
      </c>
      <c r="N24" s="475" t="s">
        <v>36</v>
      </c>
      <c r="O24" s="504">
        <v>7533</v>
      </c>
      <c r="P24" s="426">
        <v>2544</v>
      </c>
      <c r="Q24" s="419" t="s">
        <v>167</v>
      </c>
      <c r="R24" s="499">
        <v>2544</v>
      </c>
      <c r="S24" s="469">
        <v>4896</v>
      </c>
      <c r="T24" s="469">
        <v>4896</v>
      </c>
      <c r="U24" s="399">
        <v>1</v>
      </c>
      <c r="V24" s="436">
        <f>(U24+U28)/2</f>
        <v>0.75</v>
      </c>
      <c r="W24" s="432">
        <v>1</v>
      </c>
      <c r="X24" s="379">
        <v>1</v>
      </c>
      <c r="Y24" s="341">
        <f>(X24+X28)/2</f>
        <v>0.75</v>
      </c>
      <c r="Z24" s="342"/>
      <c r="AA24" s="623">
        <v>2544</v>
      </c>
      <c r="AB24" s="623">
        <v>2544</v>
      </c>
      <c r="AC24" s="583">
        <v>1</v>
      </c>
      <c r="AD24" s="583">
        <f>(AC24+AC28)/2</f>
        <v>1</v>
      </c>
      <c r="AE24" s="327">
        <v>1</v>
      </c>
      <c r="AF24" s="235">
        <f>AB24/R24</f>
        <v>1</v>
      </c>
      <c r="AG24" s="235">
        <f>(AF24+AF28)/2</f>
        <v>0.75</v>
      </c>
      <c r="AH24" s="236"/>
      <c r="AI24" s="385">
        <v>0</v>
      </c>
      <c r="AJ24" s="385">
        <v>0</v>
      </c>
      <c r="AK24" s="341">
        <f>AI24/R24</f>
        <v>0</v>
      </c>
      <c r="AL24" s="341">
        <f>AK24+AK28/2</f>
        <v>0</v>
      </c>
      <c r="AM24" s="341">
        <f>(AL24+AL28)/2</f>
        <v>0</v>
      </c>
      <c r="AN24" s="353">
        <v>0</v>
      </c>
      <c r="AO24" s="353">
        <v>0</v>
      </c>
      <c r="AP24" s="345">
        <f>AN24/R24</f>
        <v>0</v>
      </c>
      <c r="AQ24" s="341">
        <f>(AP24+AP28)/2</f>
        <v>0</v>
      </c>
      <c r="AR24" s="341">
        <f>(AQ24+AQ28)/2</f>
        <v>0</v>
      </c>
      <c r="AS24" s="351"/>
      <c r="AT24" s="327">
        <f>AW24/R24</f>
        <v>1</v>
      </c>
      <c r="AU24" s="327">
        <f>(AT24+AT28)/2</f>
        <v>1</v>
      </c>
      <c r="AV24" s="328"/>
      <c r="AW24" s="254">
        <f>AA24+AI24+AN24</f>
        <v>2544</v>
      </c>
      <c r="AX24" s="254">
        <f>AB24+AJ24+AO24</f>
        <v>2544</v>
      </c>
      <c r="AY24" s="238">
        <f>AX24/AA24</f>
        <v>1</v>
      </c>
      <c r="AZ24" s="226">
        <v>1</v>
      </c>
      <c r="BA24" s="229">
        <f>(AY24+AY28)/2</f>
        <v>1</v>
      </c>
      <c r="BB24" s="230"/>
      <c r="BC24" s="295" t="s">
        <v>321</v>
      </c>
      <c r="BD24" s="298" t="s">
        <v>254</v>
      </c>
      <c r="BE24" s="298" t="s">
        <v>268</v>
      </c>
      <c r="BF24" s="298" t="s">
        <v>322</v>
      </c>
      <c r="BG24" s="301" t="s">
        <v>29</v>
      </c>
      <c r="BH24" s="475" t="s">
        <v>37</v>
      </c>
      <c r="BI24" s="520" t="s">
        <v>38</v>
      </c>
      <c r="BJ24" s="521"/>
      <c r="BK24" s="522"/>
      <c r="BL24" s="650" t="s">
        <v>33</v>
      </c>
      <c r="BM24" s="650" t="s">
        <v>290</v>
      </c>
      <c r="BN24" s="592">
        <v>213697674</v>
      </c>
      <c r="BO24" s="313">
        <v>288539663</v>
      </c>
      <c r="BP24" s="313">
        <f>87033135+0</f>
        <v>87033135</v>
      </c>
      <c r="BQ24" s="280">
        <f>BP24/BO24</f>
        <v>0.30163317616406865</v>
      </c>
      <c r="BR24" s="616">
        <v>253697674</v>
      </c>
      <c r="BS24" s="616">
        <v>87033135</v>
      </c>
      <c r="BT24" s="647">
        <f>BS24/BR24</f>
        <v>0.34305846651160071</v>
      </c>
      <c r="BU24" s="313">
        <v>288539663</v>
      </c>
      <c r="BV24" s="313">
        <v>281875124</v>
      </c>
      <c r="BW24" s="280">
        <f>BV24/BU24</f>
        <v>0.97690252033045455</v>
      </c>
      <c r="BX24" s="313"/>
      <c r="BY24" s="313"/>
      <c r="BZ24" s="280"/>
      <c r="CA24" s="683"/>
      <c r="CB24" s="647"/>
      <c r="CC24" s="313">
        <v>398539663</v>
      </c>
      <c r="CD24" s="313">
        <v>356717113</v>
      </c>
      <c r="CE24" s="280">
        <f>CD24/CC24</f>
        <v>0.89506050744063581</v>
      </c>
      <c r="CF24" s="288">
        <v>421320049</v>
      </c>
      <c r="CG24" s="288">
        <v>317215894</v>
      </c>
      <c r="CH24" s="286">
        <f>CG24/CF24</f>
        <v>0.75290956305760803</v>
      </c>
      <c r="CI24" s="313">
        <v>421320049</v>
      </c>
      <c r="CJ24" s="313">
        <v>317215894</v>
      </c>
      <c r="CK24" s="316">
        <f>CJ24/CI24</f>
        <v>0.75290956305760803</v>
      </c>
    </row>
    <row r="25" spans="4:89" ht="15" customHeight="1" x14ac:dyDescent="0.25">
      <c r="D25" s="461"/>
      <c r="E25" s="308"/>
      <c r="F25" s="481"/>
      <c r="G25" s="293"/>
      <c r="H25" s="293"/>
      <c r="I25" s="293"/>
      <c r="J25" s="484"/>
      <c r="K25" s="308"/>
      <c r="L25" s="503"/>
      <c r="M25" s="503"/>
      <c r="N25" s="475"/>
      <c r="O25" s="505"/>
      <c r="P25" s="427"/>
      <c r="Q25" s="507"/>
      <c r="R25" s="499"/>
      <c r="S25" s="470"/>
      <c r="T25" s="470"/>
      <c r="U25" s="400"/>
      <c r="V25" s="437"/>
      <c r="W25" s="433"/>
      <c r="X25" s="379"/>
      <c r="Y25" s="342"/>
      <c r="Z25" s="342"/>
      <c r="AA25" s="624"/>
      <c r="AB25" s="624"/>
      <c r="AC25" s="584"/>
      <c r="AD25" s="584"/>
      <c r="AE25" s="328"/>
      <c r="AF25" s="236"/>
      <c r="AG25" s="236"/>
      <c r="AH25" s="236"/>
      <c r="AI25" s="386"/>
      <c r="AJ25" s="386"/>
      <c r="AK25" s="342"/>
      <c r="AL25" s="342"/>
      <c r="AM25" s="342"/>
      <c r="AN25" s="354"/>
      <c r="AO25" s="354"/>
      <c r="AP25" s="347"/>
      <c r="AQ25" s="342"/>
      <c r="AR25" s="342"/>
      <c r="AS25" s="351"/>
      <c r="AT25" s="328"/>
      <c r="AU25" s="328"/>
      <c r="AV25" s="328"/>
      <c r="AW25" s="255"/>
      <c r="AX25" s="255"/>
      <c r="AY25" s="238"/>
      <c r="AZ25" s="227"/>
      <c r="BA25" s="230"/>
      <c r="BB25" s="230"/>
      <c r="BC25" s="296"/>
      <c r="BD25" s="298"/>
      <c r="BE25" s="298"/>
      <c r="BF25" s="298"/>
      <c r="BG25" s="301"/>
      <c r="BH25" s="475"/>
      <c r="BI25" s="523"/>
      <c r="BJ25" s="524"/>
      <c r="BK25" s="525"/>
      <c r="BL25" s="651"/>
      <c r="BM25" s="651"/>
      <c r="BN25" s="593"/>
      <c r="BO25" s="314"/>
      <c r="BP25" s="314"/>
      <c r="BQ25" s="281"/>
      <c r="BR25" s="617"/>
      <c r="BS25" s="617"/>
      <c r="BT25" s="648"/>
      <c r="BU25" s="314"/>
      <c r="BV25" s="314"/>
      <c r="BW25" s="281"/>
      <c r="BX25" s="314"/>
      <c r="BY25" s="314"/>
      <c r="BZ25" s="281"/>
      <c r="CA25" s="684"/>
      <c r="CB25" s="648"/>
      <c r="CC25" s="314"/>
      <c r="CD25" s="314"/>
      <c r="CE25" s="281"/>
      <c r="CF25" s="289"/>
      <c r="CG25" s="289"/>
      <c r="CH25" s="291"/>
      <c r="CI25" s="314"/>
      <c r="CJ25" s="314"/>
      <c r="CK25" s="317"/>
    </row>
    <row r="26" spans="4:89" ht="63" customHeight="1" x14ac:dyDescent="0.25">
      <c r="D26" s="461"/>
      <c r="E26" s="308"/>
      <c r="F26" s="481"/>
      <c r="G26" s="293"/>
      <c r="H26" s="293"/>
      <c r="I26" s="293"/>
      <c r="J26" s="484"/>
      <c r="K26" s="308"/>
      <c r="L26" s="503"/>
      <c r="M26" s="503"/>
      <c r="N26" s="475"/>
      <c r="O26" s="505"/>
      <c r="P26" s="427"/>
      <c r="Q26" s="507"/>
      <c r="R26" s="499"/>
      <c r="S26" s="470"/>
      <c r="T26" s="470"/>
      <c r="U26" s="400"/>
      <c r="V26" s="437"/>
      <c r="W26" s="433"/>
      <c r="X26" s="379"/>
      <c r="Y26" s="342"/>
      <c r="Z26" s="342"/>
      <c r="AA26" s="624"/>
      <c r="AB26" s="624"/>
      <c r="AC26" s="584"/>
      <c r="AD26" s="584"/>
      <c r="AE26" s="328"/>
      <c r="AF26" s="236"/>
      <c r="AG26" s="236"/>
      <c r="AH26" s="236"/>
      <c r="AI26" s="386"/>
      <c r="AJ26" s="386"/>
      <c r="AK26" s="342"/>
      <c r="AL26" s="342"/>
      <c r="AM26" s="342"/>
      <c r="AN26" s="354"/>
      <c r="AO26" s="354"/>
      <c r="AP26" s="347"/>
      <c r="AQ26" s="342"/>
      <c r="AR26" s="342"/>
      <c r="AS26" s="351"/>
      <c r="AT26" s="328"/>
      <c r="AU26" s="328"/>
      <c r="AV26" s="328"/>
      <c r="AW26" s="255"/>
      <c r="AX26" s="255"/>
      <c r="AY26" s="238"/>
      <c r="AZ26" s="227"/>
      <c r="BA26" s="230"/>
      <c r="BB26" s="230"/>
      <c r="BC26" s="296"/>
      <c r="BD26" s="298"/>
      <c r="BE26" s="298"/>
      <c r="BF26" s="298"/>
      <c r="BG26" s="301"/>
      <c r="BH26" s="475"/>
      <c r="BI26" s="523"/>
      <c r="BJ26" s="524"/>
      <c r="BK26" s="525"/>
      <c r="BL26" s="651"/>
      <c r="BM26" s="651"/>
      <c r="BN26" s="593"/>
      <c r="BO26" s="314"/>
      <c r="BP26" s="314"/>
      <c r="BQ26" s="281"/>
      <c r="BR26" s="617"/>
      <c r="BS26" s="617"/>
      <c r="BT26" s="648"/>
      <c r="BU26" s="314"/>
      <c r="BV26" s="314"/>
      <c r="BW26" s="281"/>
      <c r="BX26" s="314"/>
      <c r="BY26" s="314"/>
      <c r="BZ26" s="281"/>
      <c r="CA26" s="684"/>
      <c r="CB26" s="648"/>
      <c r="CC26" s="314"/>
      <c r="CD26" s="314"/>
      <c r="CE26" s="281"/>
      <c r="CF26" s="289"/>
      <c r="CG26" s="289"/>
      <c r="CH26" s="291"/>
      <c r="CI26" s="314"/>
      <c r="CJ26" s="314"/>
      <c r="CK26" s="317"/>
    </row>
    <row r="27" spans="4:89" ht="129" customHeight="1" x14ac:dyDescent="0.25">
      <c r="D27" s="461"/>
      <c r="E27" s="308"/>
      <c r="F27" s="481"/>
      <c r="G27" s="293"/>
      <c r="H27" s="294"/>
      <c r="I27" s="293"/>
      <c r="J27" s="485"/>
      <c r="K27" s="308"/>
      <c r="L27" s="503"/>
      <c r="M27" s="503"/>
      <c r="N27" s="475"/>
      <c r="O27" s="506"/>
      <c r="P27" s="428"/>
      <c r="Q27" s="508"/>
      <c r="R27" s="499"/>
      <c r="S27" s="471"/>
      <c r="T27" s="471"/>
      <c r="U27" s="401"/>
      <c r="V27" s="437"/>
      <c r="W27" s="433"/>
      <c r="X27" s="379"/>
      <c r="Y27" s="342"/>
      <c r="Z27" s="342"/>
      <c r="AA27" s="625"/>
      <c r="AB27" s="625"/>
      <c r="AC27" s="585"/>
      <c r="AD27" s="584"/>
      <c r="AE27" s="328"/>
      <c r="AF27" s="236"/>
      <c r="AG27" s="236"/>
      <c r="AH27" s="236"/>
      <c r="AI27" s="387"/>
      <c r="AJ27" s="387"/>
      <c r="AK27" s="342"/>
      <c r="AL27" s="342"/>
      <c r="AM27" s="342"/>
      <c r="AN27" s="355"/>
      <c r="AO27" s="355"/>
      <c r="AP27" s="347"/>
      <c r="AQ27" s="342"/>
      <c r="AR27" s="342"/>
      <c r="AS27" s="351"/>
      <c r="AT27" s="329"/>
      <c r="AU27" s="328"/>
      <c r="AV27" s="328"/>
      <c r="AW27" s="256"/>
      <c r="AX27" s="256"/>
      <c r="AY27" s="238"/>
      <c r="AZ27" s="227"/>
      <c r="BA27" s="230"/>
      <c r="BB27" s="230"/>
      <c r="BC27" s="296"/>
      <c r="BD27" s="298"/>
      <c r="BE27" s="298"/>
      <c r="BF27" s="298"/>
      <c r="BG27" s="301"/>
      <c r="BH27" s="475"/>
      <c r="BI27" s="523"/>
      <c r="BJ27" s="524"/>
      <c r="BK27" s="525"/>
      <c r="BL27" s="651"/>
      <c r="BM27" s="651"/>
      <c r="BN27" s="593"/>
      <c r="BO27" s="314"/>
      <c r="BP27" s="314"/>
      <c r="BQ27" s="281"/>
      <c r="BR27" s="617"/>
      <c r="BS27" s="617"/>
      <c r="BT27" s="648"/>
      <c r="BU27" s="314"/>
      <c r="BV27" s="314"/>
      <c r="BW27" s="281"/>
      <c r="BX27" s="314"/>
      <c r="BY27" s="314"/>
      <c r="BZ27" s="281"/>
      <c r="CA27" s="684"/>
      <c r="CB27" s="648"/>
      <c r="CC27" s="314"/>
      <c r="CD27" s="314"/>
      <c r="CE27" s="281"/>
      <c r="CF27" s="289"/>
      <c r="CG27" s="289"/>
      <c r="CH27" s="291"/>
      <c r="CI27" s="314"/>
      <c r="CJ27" s="314"/>
      <c r="CK27" s="317"/>
    </row>
    <row r="28" spans="4:89" ht="44.25" customHeight="1" x14ac:dyDescent="0.25">
      <c r="D28" s="461"/>
      <c r="E28" s="308"/>
      <c r="F28" s="481"/>
      <c r="G28" s="292" t="s">
        <v>40</v>
      </c>
      <c r="H28" s="476" t="s">
        <v>41</v>
      </c>
      <c r="I28" s="293"/>
      <c r="J28" s="484">
        <v>200</v>
      </c>
      <c r="K28" s="308"/>
      <c r="L28" s="396">
        <v>144</v>
      </c>
      <c r="M28" s="396">
        <f>J28-144</f>
        <v>56</v>
      </c>
      <c r="N28" s="303" t="s">
        <v>42</v>
      </c>
      <c r="O28" s="498">
        <v>191</v>
      </c>
      <c r="P28" s="426">
        <v>14</v>
      </c>
      <c r="Q28" s="419" t="s">
        <v>168</v>
      </c>
      <c r="R28" s="426">
        <v>14</v>
      </c>
      <c r="S28" s="500">
        <v>7</v>
      </c>
      <c r="T28" s="500">
        <v>7</v>
      </c>
      <c r="U28" s="501">
        <f>S28/P28</f>
        <v>0.5</v>
      </c>
      <c r="V28" s="437"/>
      <c r="W28" s="433"/>
      <c r="X28" s="341">
        <f>S28/R28</f>
        <v>0.5</v>
      </c>
      <c r="Y28" s="342"/>
      <c r="Z28" s="342"/>
      <c r="AA28" s="626">
        <v>14</v>
      </c>
      <c r="AB28" s="626">
        <v>7</v>
      </c>
      <c r="AC28" s="591">
        <v>1</v>
      </c>
      <c r="AD28" s="584"/>
      <c r="AE28" s="328"/>
      <c r="AF28" s="239">
        <f>AB28/R28</f>
        <v>0.5</v>
      </c>
      <c r="AG28" s="236"/>
      <c r="AH28" s="236"/>
      <c r="AI28" s="385">
        <v>0</v>
      </c>
      <c r="AJ28" s="385">
        <v>0</v>
      </c>
      <c r="AK28" s="341">
        <f>AI28/R28</f>
        <v>0</v>
      </c>
      <c r="AL28" s="342"/>
      <c r="AM28" s="342"/>
      <c r="AN28" s="353">
        <v>0</v>
      </c>
      <c r="AO28" s="353">
        <v>0</v>
      </c>
      <c r="AP28" s="345">
        <f>AN28/R28</f>
        <v>0</v>
      </c>
      <c r="AQ28" s="342"/>
      <c r="AR28" s="342"/>
      <c r="AS28" s="351"/>
      <c r="AT28" s="327">
        <f>AW28/R28</f>
        <v>1</v>
      </c>
      <c r="AU28" s="328"/>
      <c r="AV28" s="328"/>
      <c r="AW28" s="254">
        <f>AO28+AJ28+AA28</f>
        <v>14</v>
      </c>
      <c r="AX28" s="254">
        <f>AJ28+AB28+T28</f>
        <v>14</v>
      </c>
      <c r="AY28" s="226">
        <f>AX28/R28</f>
        <v>1</v>
      </c>
      <c r="AZ28" s="227"/>
      <c r="BA28" s="230"/>
      <c r="BB28" s="230"/>
      <c r="BC28" s="296"/>
      <c r="BD28" s="298"/>
      <c r="BE28" s="298"/>
      <c r="BF28" s="298"/>
      <c r="BG28" s="301"/>
      <c r="BH28" s="475"/>
      <c r="BI28" s="523"/>
      <c r="BJ28" s="524"/>
      <c r="BK28" s="525"/>
      <c r="BL28" s="651"/>
      <c r="BM28" s="651"/>
      <c r="BN28" s="593"/>
      <c r="BO28" s="314"/>
      <c r="BP28" s="314"/>
      <c r="BQ28" s="281"/>
      <c r="BR28" s="617"/>
      <c r="BS28" s="617"/>
      <c r="BT28" s="648"/>
      <c r="BU28" s="314"/>
      <c r="BV28" s="314"/>
      <c r="BW28" s="281"/>
      <c r="BX28" s="314"/>
      <c r="BY28" s="314"/>
      <c r="BZ28" s="281"/>
      <c r="CA28" s="684"/>
      <c r="CB28" s="648"/>
      <c r="CC28" s="314"/>
      <c r="CD28" s="314"/>
      <c r="CE28" s="281"/>
      <c r="CF28" s="289"/>
      <c r="CG28" s="289"/>
      <c r="CH28" s="291"/>
      <c r="CI28" s="314"/>
      <c r="CJ28" s="314"/>
      <c r="CK28" s="317"/>
    </row>
    <row r="29" spans="4:89" ht="15" customHeight="1" x14ac:dyDescent="0.25">
      <c r="D29" s="461"/>
      <c r="E29" s="308"/>
      <c r="F29" s="481"/>
      <c r="G29" s="293"/>
      <c r="H29" s="477"/>
      <c r="I29" s="293"/>
      <c r="J29" s="484"/>
      <c r="K29" s="308"/>
      <c r="L29" s="397"/>
      <c r="M29" s="397"/>
      <c r="N29" s="308"/>
      <c r="O29" s="498"/>
      <c r="P29" s="427"/>
      <c r="Q29" s="507"/>
      <c r="R29" s="427"/>
      <c r="S29" s="500"/>
      <c r="T29" s="500"/>
      <c r="U29" s="501"/>
      <c r="V29" s="437"/>
      <c r="W29" s="433"/>
      <c r="X29" s="342"/>
      <c r="Y29" s="342"/>
      <c r="Z29" s="342"/>
      <c r="AA29" s="626"/>
      <c r="AB29" s="626"/>
      <c r="AC29" s="591"/>
      <c r="AD29" s="584"/>
      <c r="AE29" s="328"/>
      <c r="AF29" s="239"/>
      <c r="AG29" s="236"/>
      <c r="AH29" s="236"/>
      <c r="AI29" s="386"/>
      <c r="AJ29" s="386"/>
      <c r="AK29" s="342"/>
      <c r="AL29" s="342"/>
      <c r="AM29" s="342"/>
      <c r="AN29" s="354"/>
      <c r="AO29" s="354"/>
      <c r="AP29" s="347"/>
      <c r="AQ29" s="342"/>
      <c r="AR29" s="342"/>
      <c r="AS29" s="351"/>
      <c r="AT29" s="328"/>
      <c r="AU29" s="328"/>
      <c r="AV29" s="328"/>
      <c r="AW29" s="255"/>
      <c r="AX29" s="255"/>
      <c r="AY29" s="227"/>
      <c r="AZ29" s="227"/>
      <c r="BA29" s="230"/>
      <c r="BB29" s="230"/>
      <c r="BC29" s="296"/>
      <c r="BD29" s="298"/>
      <c r="BE29" s="298"/>
      <c r="BF29" s="298"/>
      <c r="BG29" s="301"/>
      <c r="BH29" s="475"/>
      <c r="BI29" s="523"/>
      <c r="BJ29" s="524"/>
      <c r="BK29" s="525"/>
      <c r="BL29" s="651"/>
      <c r="BM29" s="651"/>
      <c r="BN29" s="593"/>
      <c r="BO29" s="314"/>
      <c r="BP29" s="314"/>
      <c r="BQ29" s="281"/>
      <c r="BR29" s="617"/>
      <c r="BS29" s="617"/>
      <c r="BT29" s="648"/>
      <c r="BU29" s="314"/>
      <c r="BV29" s="314"/>
      <c r="BW29" s="281"/>
      <c r="BX29" s="314"/>
      <c r="BY29" s="314"/>
      <c r="BZ29" s="281"/>
      <c r="CA29" s="684"/>
      <c r="CB29" s="648"/>
      <c r="CC29" s="314"/>
      <c r="CD29" s="314"/>
      <c r="CE29" s="281"/>
      <c r="CF29" s="289"/>
      <c r="CG29" s="289"/>
      <c r="CH29" s="291"/>
      <c r="CI29" s="314"/>
      <c r="CJ29" s="314"/>
      <c r="CK29" s="317"/>
    </row>
    <row r="30" spans="4:89" ht="15" customHeight="1" x14ac:dyDescent="0.25">
      <c r="D30" s="461"/>
      <c r="E30" s="308"/>
      <c r="F30" s="481"/>
      <c r="G30" s="293"/>
      <c r="H30" s="477"/>
      <c r="I30" s="293"/>
      <c r="J30" s="484"/>
      <c r="K30" s="308"/>
      <c r="L30" s="397"/>
      <c r="M30" s="397"/>
      <c r="N30" s="308"/>
      <c r="O30" s="498"/>
      <c r="P30" s="427"/>
      <c r="Q30" s="507"/>
      <c r="R30" s="427"/>
      <c r="S30" s="500"/>
      <c r="T30" s="500"/>
      <c r="U30" s="501"/>
      <c r="V30" s="437"/>
      <c r="W30" s="433"/>
      <c r="X30" s="342"/>
      <c r="Y30" s="342"/>
      <c r="Z30" s="342"/>
      <c r="AA30" s="626"/>
      <c r="AB30" s="626"/>
      <c r="AC30" s="591"/>
      <c r="AD30" s="584"/>
      <c r="AE30" s="328"/>
      <c r="AF30" s="239"/>
      <c r="AG30" s="236"/>
      <c r="AH30" s="236"/>
      <c r="AI30" s="386"/>
      <c r="AJ30" s="386"/>
      <c r="AK30" s="342"/>
      <c r="AL30" s="342"/>
      <c r="AM30" s="342"/>
      <c r="AN30" s="354"/>
      <c r="AO30" s="354"/>
      <c r="AP30" s="347"/>
      <c r="AQ30" s="342"/>
      <c r="AR30" s="342"/>
      <c r="AS30" s="351"/>
      <c r="AT30" s="328"/>
      <c r="AU30" s="328"/>
      <c r="AV30" s="328"/>
      <c r="AW30" s="255"/>
      <c r="AX30" s="255"/>
      <c r="AY30" s="227"/>
      <c r="AZ30" s="227"/>
      <c r="BA30" s="230"/>
      <c r="BB30" s="230"/>
      <c r="BC30" s="296"/>
      <c r="BD30" s="298"/>
      <c r="BE30" s="298"/>
      <c r="BF30" s="298"/>
      <c r="BG30" s="301"/>
      <c r="BH30" s="475"/>
      <c r="BI30" s="523"/>
      <c r="BJ30" s="524"/>
      <c r="BK30" s="525"/>
      <c r="BL30" s="651"/>
      <c r="BM30" s="651"/>
      <c r="BN30" s="593"/>
      <c r="BO30" s="314"/>
      <c r="BP30" s="314"/>
      <c r="BQ30" s="281"/>
      <c r="BR30" s="617"/>
      <c r="BS30" s="617"/>
      <c r="BT30" s="648"/>
      <c r="BU30" s="314"/>
      <c r="BV30" s="314"/>
      <c r="BW30" s="281"/>
      <c r="BX30" s="314"/>
      <c r="BY30" s="314"/>
      <c r="BZ30" s="281"/>
      <c r="CA30" s="684"/>
      <c r="CB30" s="648"/>
      <c r="CC30" s="314"/>
      <c r="CD30" s="314"/>
      <c r="CE30" s="281"/>
      <c r="CF30" s="289"/>
      <c r="CG30" s="289"/>
      <c r="CH30" s="291"/>
      <c r="CI30" s="314"/>
      <c r="CJ30" s="314"/>
      <c r="CK30" s="317"/>
    </row>
    <row r="31" spans="4:89" ht="15" customHeight="1" x14ac:dyDescent="0.25">
      <c r="D31" s="461"/>
      <c r="E31" s="308"/>
      <c r="F31" s="481"/>
      <c r="G31" s="293"/>
      <c r="H31" s="477"/>
      <c r="I31" s="293"/>
      <c r="J31" s="484"/>
      <c r="K31" s="308"/>
      <c r="L31" s="397"/>
      <c r="M31" s="397"/>
      <c r="N31" s="308"/>
      <c r="O31" s="498"/>
      <c r="P31" s="427"/>
      <c r="Q31" s="507"/>
      <c r="R31" s="427"/>
      <c r="S31" s="500"/>
      <c r="T31" s="500"/>
      <c r="U31" s="501"/>
      <c r="V31" s="437"/>
      <c r="W31" s="433"/>
      <c r="X31" s="342"/>
      <c r="Y31" s="342"/>
      <c r="Z31" s="342"/>
      <c r="AA31" s="626"/>
      <c r="AB31" s="626"/>
      <c r="AC31" s="591"/>
      <c r="AD31" s="584"/>
      <c r="AE31" s="328"/>
      <c r="AF31" s="239"/>
      <c r="AG31" s="236"/>
      <c r="AH31" s="236"/>
      <c r="AI31" s="386"/>
      <c r="AJ31" s="386"/>
      <c r="AK31" s="342"/>
      <c r="AL31" s="342"/>
      <c r="AM31" s="342"/>
      <c r="AN31" s="354"/>
      <c r="AO31" s="354"/>
      <c r="AP31" s="347"/>
      <c r="AQ31" s="342"/>
      <c r="AR31" s="342"/>
      <c r="AS31" s="351"/>
      <c r="AT31" s="328"/>
      <c r="AU31" s="328"/>
      <c r="AV31" s="328"/>
      <c r="AW31" s="255"/>
      <c r="AX31" s="255"/>
      <c r="AY31" s="227"/>
      <c r="AZ31" s="227"/>
      <c r="BA31" s="230"/>
      <c r="BB31" s="230"/>
      <c r="BC31" s="296"/>
      <c r="BD31" s="298"/>
      <c r="BE31" s="298"/>
      <c r="BF31" s="298"/>
      <c r="BG31" s="301"/>
      <c r="BH31" s="475"/>
      <c r="BI31" s="523"/>
      <c r="BJ31" s="524"/>
      <c r="BK31" s="525"/>
      <c r="BL31" s="651"/>
      <c r="BM31" s="651"/>
      <c r="BN31" s="593"/>
      <c r="BO31" s="314"/>
      <c r="BP31" s="314"/>
      <c r="BQ31" s="281"/>
      <c r="BR31" s="617"/>
      <c r="BS31" s="617"/>
      <c r="BT31" s="648"/>
      <c r="BU31" s="314"/>
      <c r="BV31" s="314"/>
      <c r="BW31" s="281"/>
      <c r="BX31" s="314"/>
      <c r="BY31" s="314"/>
      <c r="BZ31" s="281"/>
      <c r="CA31" s="684"/>
      <c r="CB31" s="648"/>
      <c r="CC31" s="314"/>
      <c r="CD31" s="314"/>
      <c r="CE31" s="281"/>
      <c r="CF31" s="289"/>
      <c r="CG31" s="289"/>
      <c r="CH31" s="291"/>
      <c r="CI31" s="314"/>
      <c r="CJ31" s="314"/>
      <c r="CK31" s="317"/>
    </row>
    <row r="32" spans="4:89" ht="14.25" customHeight="1" x14ac:dyDescent="0.25">
      <c r="D32" s="461"/>
      <c r="E32" s="308"/>
      <c r="F32" s="482"/>
      <c r="G32" s="294"/>
      <c r="H32" s="478"/>
      <c r="I32" s="294"/>
      <c r="J32" s="485"/>
      <c r="K32" s="304"/>
      <c r="L32" s="398"/>
      <c r="M32" s="398"/>
      <c r="N32" s="304"/>
      <c r="O32" s="498"/>
      <c r="P32" s="428"/>
      <c r="Q32" s="508"/>
      <c r="R32" s="428"/>
      <c r="S32" s="500"/>
      <c r="T32" s="500"/>
      <c r="U32" s="501"/>
      <c r="V32" s="438"/>
      <c r="W32" s="434"/>
      <c r="X32" s="343"/>
      <c r="Y32" s="343"/>
      <c r="Z32" s="342"/>
      <c r="AA32" s="626"/>
      <c r="AB32" s="626"/>
      <c r="AC32" s="591"/>
      <c r="AD32" s="585"/>
      <c r="AE32" s="329"/>
      <c r="AF32" s="239"/>
      <c r="AG32" s="237"/>
      <c r="AH32" s="236"/>
      <c r="AI32" s="387"/>
      <c r="AJ32" s="387"/>
      <c r="AK32" s="343"/>
      <c r="AL32" s="343"/>
      <c r="AM32" s="343"/>
      <c r="AN32" s="355"/>
      <c r="AO32" s="355"/>
      <c r="AP32" s="346"/>
      <c r="AQ32" s="343"/>
      <c r="AR32" s="343"/>
      <c r="AS32" s="351"/>
      <c r="AT32" s="329"/>
      <c r="AU32" s="329"/>
      <c r="AV32" s="328"/>
      <c r="AW32" s="256"/>
      <c r="AX32" s="256"/>
      <c r="AY32" s="228"/>
      <c r="AZ32" s="228"/>
      <c r="BA32" s="231"/>
      <c r="BB32" s="230"/>
      <c r="BC32" s="299"/>
      <c r="BD32" s="298"/>
      <c r="BE32" s="298"/>
      <c r="BF32" s="298"/>
      <c r="BG32" s="302"/>
      <c r="BH32" s="475"/>
      <c r="BI32" s="526"/>
      <c r="BJ32" s="527"/>
      <c r="BK32" s="528"/>
      <c r="BL32" s="652"/>
      <c r="BM32" s="652"/>
      <c r="BN32" s="594"/>
      <c r="BO32" s="315"/>
      <c r="BP32" s="315"/>
      <c r="BQ32" s="282"/>
      <c r="BR32" s="618"/>
      <c r="BS32" s="618"/>
      <c r="BT32" s="649"/>
      <c r="BU32" s="315"/>
      <c r="BV32" s="315"/>
      <c r="BW32" s="282"/>
      <c r="BX32" s="315"/>
      <c r="BY32" s="315"/>
      <c r="BZ32" s="282"/>
      <c r="CA32" s="685"/>
      <c r="CB32" s="649"/>
      <c r="CC32" s="315"/>
      <c r="CD32" s="315"/>
      <c r="CE32" s="282"/>
      <c r="CF32" s="290"/>
      <c r="CG32" s="290"/>
      <c r="CH32" s="287"/>
      <c r="CI32" s="315"/>
      <c r="CJ32" s="315"/>
      <c r="CK32" s="318"/>
    </row>
    <row r="33" spans="4:89" ht="63.75" customHeight="1" x14ac:dyDescent="0.25">
      <c r="D33" s="461"/>
      <c r="E33" s="308"/>
      <c r="F33" s="472" t="s">
        <v>43</v>
      </c>
      <c r="G33" s="303" t="s">
        <v>44</v>
      </c>
      <c r="H33" s="303" t="s">
        <v>45</v>
      </c>
      <c r="I33" s="303" t="s">
        <v>46</v>
      </c>
      <c r="J33" s="419">
        <v>300000</v>
      </c>
      <c r="K33" s="303" t="s">
        <v>46</v>
      </c>
      <c r="L33" s="416">
        <v>160058</v>
      </c>
      <c r="M33" s="416">
        <f>J33-160058</f>
        <v>139942</v>
      </c>
      <c r="N33" s="303" t="s">
        <v>47</v>
      </c>
      <c r="O33" s="419">
        <v>60233</v>
      </c>
      <c r="P33" s="426">
        <v>34985</v>
      </c>
      <c r="Q33" s="419" t="s">
        <v>169</v>
      </c>
      <c r="R33" s="499">
        <v>153</v>
      </c>
      <c r="S33" s="405">
        <f>T33+T37+T43+T48+T49+T54</f>
        <v>8995</v>
      </c>
      <c r="T33" s="440">
        <f>2511+2708</f>
        <v>5219</v>
      </c>
      <c r="U33" s="440">
        <f>2511+2708</f>
        <v>5219</v>
      </c>
      <c r="V33" s="439">
        <f>S33/P33</f>
        <v>0.25711019008146346</v>
      </c>
      <c r="W33" s="432">
        <f>(V33+V56)/2</f>
        <v>0.17489245675408474</v>
      </c>
      <c r="X33" s="379">
        <v>1</v>
      </c>
      <c r="Y33" s="341">
        <f>(X33+X37+X43+X48+X49+X54+X55+X56+X61+X66+X71+X74)/12</f>
        <v>0.32722919622841012</v>
      </c>
      <c r="Z33" s="342"/>
      <c r="AA33" s="627">
        <f>AB33+AB37+AB43+AB48+AB49+AB54+AB55</f>
        <v>29373</v>
      </c>
      <c r="AB33" s="534">
        <f>2511+2708</f>
        <v>5219</v>
      </c>
      <c r="AC33" s="534">
        <f>2511+2708</f>
        <v>5219</v>
      </c>
      <c r="AD33" s="591">
        <f>AA33/P33</f>
        <v>0.83958839502643989</v>
      </c>
      <c r="AE33" s="327">
        <f>(AD33+AD56)/2</f>
        <v>0.5810805312477425</v>
      </c>
      <c r="AF33" s="239">
        <v>1</v>
      </c>
      <c r="AG33" s="239">
        <f>(AF33+AF37+AF43+AF48+AF49+AF54+AF55+AF56+AF61+AF66+AF71+AF74)/12</f>
        <v>0.51745249489365064</v>
      </c>
      <c r="AH33" s="236"/>
      <c r="AI33" s="679">
        <f>AJ33+AJ37+AJ43+AJ48+AJ49+AJ54+AJ55</f>
        <v>7513</v>
      </c>
      <c r="AJ33" s="383">
        <v>0</v>
      </c>
      <c r="AK33" s="379">
        <f>AJ33/R33</f>
        <v>0</v>
      </c>
      <c r="AL33" s="341">
        <f>(AK55+AK54+AK49+AK48+AK43+AK37+AK33)/7</f>
        <v>0.1768445759962865</v>
      </c>
      <c r="AM33" s="341">
        <f>(AL33+AL569)/2</f>
        <v>8.8422287998143251E-2</v>
      </c>
      <c r="AN33" s="537">
        <f>AO33+AO37+AO43+AO48+AO49+AO54+AO55</f>
        <v>26371</v>
      </c>
      <c r="AO33" s="344">
        <v>0</v>
      </c>
      <c r="AP33" s="340">
        <f>AO33/R33</f>
        <v>0</v>
      </c>
      <c r="AQ33" s="341">
        <f>(AP55+AP54+AP49+AP48+AP43+AP37+AP33)/7</f>
        <v>0.3293298397425885</v>
      </c>
      <c r="AR33" s="350">
        <f>(AQ33+AQ56)/2</f>
        <v>0.22589143283117741</v>
      </c>
      <c r="AS33" s="351"/>
      <c r="AT33" s="699">
        <v>1</v>
      </c>
      <c r="AU33" s="330">
        <f>(AT33+AT56)/2</f>
        <v>0.89503404613127135</v>
      </c>
      <c r="AV33" s="328"/>
      <c r="AW33" s="262">
        <f>AX33+AX37+AX43+AX48+AX49+AX54+AX55</f>
        <v>63257</v>
      </c>
      <c r="AX33" s="254">
        <f>AO33+AJ33+AB33</f>
        <v>5219</v>
      </c>
      <c r="AY33" s="238">
        <v>1</v>
      </c>
      <c r="AZ33" s="235">
        <f>(AY33+AY37+AY43+AY48+AY49+AY54+AY55)/7</f>
        <v>0.88159932351203207</v>
      </c>
      <c r="BA33" s="232">
        <f>(AZ33+AZ56)/2</f>
        <v>0.62457966175601598</v>
      </c>
      <c r="BB33" s="230"/>
      <c r="BC33" s="359" t="s">
        <v>188</v>
      </c>
      <c r="BD33" s="359" t="s">
        <v>188</v>
      </c>
      <c r="BE33" s="359" t="s">
        <v>273</v>
      </c>
      <c r="BF33" s="359" t="s">
        <v>326</v>
      </c>
      <c r="BG33" s="300" t="s">
        <v>48</v>
      </c>
      <c r="BH33" s="475" t="s">
        <v>49</v>
      </c>
      <c r="BI33" s="520" t="s">
        <v>31</v>
      </c>
      <c r="BJ33" s="521"/>
      <c r="BK33" s="522"/>
      <c r="BL33" s="303" t="s">
        <v>50</v>
      </c>
      <c r="BM33" s="303" t="s">
        <v>291</v>
      </c>
      <c r="BN33" s="592">
        <v>1333980543</v>
      </c>
      <c r="BO33" s="313">
        <v>1333980543</v>
      </c>
      <c r="BP33" s="313">
        <v>889392000</v>
      </c>
      <c r="BQ33" s="280">
        <f>BP33/BO33</f>
        <v>0.66672036909911658</v>
      </c>
      <c r="BR33" s="616">
        <v>5245374464</v>
      </c>
      <c r="BS33" s="616">
        <v>1163298720</v>
      </c>
      <c r="BT33" s="647">
        <f>BS33/BR33</f>
        <v>0.22177610540180492</v>
      </c>
      <c r="BU33" s="313">
        <v>1196238543</v>
      </c>
      <c r="BV33" s="313">
        <v>933192400</v>
      </c>
      <c r="BW33" s="280">
        <f>BV33/BU33</f>
        <v>0.78010561142736901</v>
      </c>
      <c r="BX33" s="313"/>
      <c r="BY33" s="313"/>
      <c r="BZ33" s="280"/>
      <c r="CA33" s="683"/>
      <c r="CB33" s="647"/>
      <c r="CC33" s="313">
        <v>2711037655</v>
      </c>
      <c r="CD33" s="313">
        <v>1712733670</v>
      </c>
      <c r="CE33" s="280">
        <f>CD33/CC33</f>
        <v>0.63176314310543946</v>
      </c>
      <c r="CF33" s="288">
        <v>1832748862</v>
      </c>
      <c r="CG33" s="288">
        <v>1809435264</v>
      </c>
      <c r="CH33" s="286">
        <f>CG33/CF33</f>
        <v>0.987279436652025</v>
      </c>
      <c r="CI33" s="274">
        <v>5245374464</v>
      </c>
      <c r="CJ33" s="277">
        <v>4006927035</v>
      </c>
      <c r="CK33" s="280">
        <f>CJ33/CI33</f>
        <v>0.76389723221865291</v>
      </c>
    </row>
    <row r="34" spans="4:89" ht="21" customHeight="1" x14ac:dyDescent="0.25">
      <c r="D34" s="461"/>
      <c r="E34" s="308"/>
      <c r="F34" s="473"/>
      <c r="G34" s="308"/>
      <c r="H34" s="308"/>
      <c r="I34" s="308"/>
      <c r="J34" s="308"/>
      <c r="K34" s="308"/>
      <c r="L34" s="417"/>
      <c r="M34" s="417"/>
      <c r="N34" s="308"/>
      <c r="O34" s="507"/>
      <c r="P34" s="427"/>
      <c r="Q34" s="507"/>
      <c r="R34" s="499"/>
      <c r="S34" s="435"/>
      <c r="T34" s="532"/>
      <c r="U34" s="532"/>
      <c r="V34" s="439"/>
      <c r="W34" s="433"/>
      <c r="X34" s="379"/>
      <c r="Y34" s="342"/>
      <c r="Z34" s="342"/>
      <c r="AA34" s="628"/>
      <c r="AB34" s="630"/>
      <c r="AC34" s="630"/>
      <c r="AD34" s="591"/>
      <c r="AE34" s="328"/>
      <c r="AF34" s="239"/>
      <c r="AG34" s="239"/>
      <c r="AH34" s="236"/>
      <c r="AI34" s="386"/>
      <c r="AJ34" s="383"/>
      <c r="AK34" s="379"/>
      <c r="AL34" s="342"/>
      <c r="AM34" s="342"/>
      <c r="AN34" s="354"/>
      <c r="AO34" s="344"/>
      <c r="AP34" s="340"/>
      <c r="AQ34" s="342"/>
      <c r="AR34" s="351"/>
      <c r="AS34" s="351"/>
      <c r="AT34" s="700"/>
      <c r="AU34" s="331"/>
      <c r="AV34" s="328"/>
      <c r="AW34" s="262"/>
      <c r="AX34" s="255"/>
      <c r="AY34" s="238"/>
      <c r="AZ34" s="236"/>
      <c r="BA34" s="233"/>
      <c r="BB34" s="230"/>
      <c r="BC34" s="360"/>
      <c r="BD34" s="360"/>
      <c r="BE34" s="360"/>
      <c r="BF34" s="360"/>
      <c r="BG34" s="301"/>
      <c r="BH34" s="475"/>
      <c r="BI34" s="523"/>
      <c r="BJ34" s="524"/>
      <c r="BK34" s="525"/>
      <c r="BL34" s="308"/>
      <c r="BM34" s="308"/>
      <c r="BN34" s="593"/>
      <c r="BO34" s="314"/>
      <c r="BP34" s="314"/>
      <c r="BQ34" s="281"/>
      <c r="BR34" s="617"/>
      <c r="BS34" s="617"/>
      <c r="BT34" s="648"/>
      <c r="BU34" s="314"/>
      <c r="BV34" s="314"/>
      <c r="BW34" s="281"/>
      <c r="BX34" s="314"/>
      <c r="BY34" s="314"/>
      <c r="BZ34" s="281"/>
      <c r="CA34" s="684"/>
      <c r="CB34" s="648"/>
      <c r="CC34" s="314"/>
      <c r="CD34" s="314"/>
      <c r="CE34" s="281"/>
      <c r="CF34" s="289"/>
      <c r="CG34" s="289"/>
      <c r="CH34" s="291"/>
      <c r="CI34" s="275"/>
      <c r="CJ34" s="278"/>
      <c r="CK34" s="281"/>
    </row>
    <row r="35" spans="4:89" ht="21" customHeight="1" x14ac:dyDescent="0.25">
      <c r="D35" s="461"/>
      <c r="E35" s="308"/>
      <c r="F35" s="473"/>
      <c r="G35" s="308"/>
      <c r="H35" s="308"/>
      <c r="I35" s="308"/>
      <c r="J35" s="308"/>
      <c r="K35" s="308"/>
      <c r="L35" s="417"/>
      <c r="M35" s="417"/>
      <c r="N35" s="308"/>
      <c r="O35" s="507"/>
      <c r="P35" s="427"/>
      <c r="Q35" s="507"/>
      <c r="R35" s="499"/>
      <c r="S35" s="435"/>
      <c r="T35" s="532"/>
      <c r="U35" s="532"/>
      <c r="V35" s="439"/>
      <c r="W35" s="433"/>
      <c r="X35" s="379"/>
      <c r="Y35" s="342"/>
      <c r="Z35" s="342"/>
      <c r="AA35" s="628"/>
      <c r="AB35" s="630"/>
      <c r="AC35" s="630"/>
      <c r="AD35" s="591"/>
      <c r="AE35" s="328"/>
      <c r="AF35" s="239"/>
      <c r="AG35" s="239"/>
      <c r="AH35" s="236"/>
      <c r="AI35" s="386"/>
      <c r="AJ35" s="383"/>
      <c r="AK35" s="379"/>
      <c r="AL35" s="342"/>
      <c r="AM35" s="342"/>
      <c r="AN35" s="354"/>
      <c r="AO35" s="344"/>
      <c r="AP35" s="340"/>
      <c r="AQ35" s="342"/>
      <c r="AR35" s="351"/>
      <c r="AS35" s="351"/>
      <c r="AT35" s="700"/>
      <c r="AU35" s="331"/>
      <c r="AV35" s="328"/>
      <c r="AW35" s="262"/>
      <c r="AX35" s="255"/>
      <c r="AY35" s="238"/>
      <c r="AZ35" s="236"/>
      <c r="BA35" s="233"/>
      <c r="BB35" s="230"/>
      <c r="BC35" s="360"/>
      <c r="BD35" s="360"/>
      <c r="BE35" s="360"/>
      <c r="BF35" s="360"/>
      <c r="BG35" s="301"/>
      <c r="BH35" s="475"/>
      <c r="BI35" s="523"/>
      <c r="BJ35" s="524"/>
      <c r="BK35" s="525"/>
      <c r="BL35" s="308"/>
      <c r="BM35" s="308"/>
      <c r="BN35" s="593"/>
      <c r="BO35" s="314"/>
      <c r="BP35" s="314"/>
      <c r="BQ35" s="281"/>
      <c r="BR35" s="617"/>
      <c r="BS35" s="617"/>
      <c r="BT35" s="648"/>
      <c r="BU35" s="314"/>
      <c r="BV35" s="314"/>
      <c r="BW35" s="281"/>
      <c r="BX35" s="314"/>
      <c r="BY35" s="314"/>
      <c r="BZ35" s="281"/>
      <c r="CA35" s="684"/>
      <c r="CB35" s="648"/>
      <c r="CC35" s="314"/>
      <c r="CD35" s="314"/>
      <c r="CE35" s="281"/>
      <c r="CF35" s="289"/>
      <c r="CG35" s="289"/>
      <c r="CH35" s="291"/>
      <c r="CI35" s="275"/>
      <c r="CJ35" s="278"/>
      <c r="CK35" s="281"/>
    </row>
    <row r="36" spans="4:89" ht="61.5" customHeight="1" x14ac:dyDescent="0.25">
      <c r="D36" s="461"/>
      <c r="E36" s="308"/>
      <c r="F36" s="473"/>
      <c r="G36" s="308"/>
      <c r="H36" s="308"/>
      <c r="I36" s="308"/>
      <c r="J36" s="308"/>
      <c r="K36" s="308"/>
      <c r="L36" s="417"/>
      <c r="M36" s="417"/>
      <c r="N36" s="308"/>
      <c r="O36" s="507"/>
      <c r="P36" s="427"/>
      <c r="Q36" s="508"/>
      <c r="R36" s="499"/>
      <c r="S36" s="435"/>
      <c r="T36" s="533"/>
      <c r="U36" s="533"/>
      <c r="V36" s="439"/>
      <c r="W36" s="433"/>
      <c r="X36" s="379"/>
      <c r="Y36" s="342"/>
      <c r="Z36" s="342"/>
      <c r="AA36" s="628"/>
      <c r="AB36" s="631"/>
      <c r="AC36" s="631"/>
      <c r="AD36" s="591"/>
      <c r="AE36" s="328"/>
      <c r="AF36" s="239"/>
      <c r="AG36" s="239"/>
      <c r="AH36" s="236"/>
      <c r="AI36" s="386"/>
      <c r="AJ36" s="383"/>
      <c r="AK36" s="379"/>
      <c r="AL36" s="342"/>
      <c r="AM36" s="342"/>
      <c r="AN36" s="354"/>
      <c r="AO36" s="344"/>
      <c r="AP36" s="340"/>
      <c r="AQ36" s="342"/>
      <c r="AR36" s="351"/>
      <c r="AS36" s="351"/>
      <c r="AT36" s="700"/>
      <c r="AU36" s="331"/>
      <c r="AV36" s="328"/>
      <c r="AW36" s="262"/>
      <c r="AX36" s="256"/>
      <c r="AY36" s="238"/>
      <c r="AZ36" s="236"/>
      <c r="BA36" s="233"/>
      <c r="BB36" s="230"/>
      <c r="BC36" s="361"/>
      <c r="BD36" s="361"/>
      <c r="BE36" s="361"/>
      <c r="BF36" s="361"/>
      <c r="BG36" s="301"/>
      <c r="BH36" s="475"/>
      <c r="BI36" s="523"/>
      <c r="BJ36" s="524"/>
      <c r="BK36" s="525"/>
      <c r="BL36" s="308"/>
      <c r="BM36" s="308"/>
      <c r="BN36" s="593"/>
      <c r="BO36" s="314"/>
      <c r="BP36" s="314"/>
      <c r="BQ36" s="281"/>
      <c r="BR36" s="617"/>
      <c r="BS36" s="617"/>
      <c r="BT36" s="648"/>
      <c r="BU36" s="314"/>
      <c r="BV36" s="314"/>
      <c r="BW36" s="281"/>
      <c r="BX36" s="314"/>
      <c r="BY36" s="314"/>
      <c r="BZ36" s="281"/>
      <c r="CA36" s="684"/>
      <c r="CB36" s="648"/>
      <c r="CC36" s="314"/>
      <c r="CD36" s="314"/>
      <c r="CE36" s="281"/>
      <c r="CF36" s="289"/>
      <c r="CG36" s="289"/>
      <c r="CH36" s="291"/>
      <c r="CI36" s="275"/>
      <c r="CJ36" s="278"/>
      <c r="CK36" s="281"/>
    </row>
    <row r="37" spans="4:89" ht="15" customHeight="1" x14ac:dyDescent="0.25">
      <c r="D37" s="461"/>
      <c r="E37" s="308"/>
      <c r="F37" s="473"/>
      <c r="G37" s="308"/>
      <c r="H37" s="308"/>
      <c r="I37" s="308"/>
      <c r="J37" s="308"/>
      <c r="K37" s="308"/>
      <c r="L37" s="417"/>
      <c r="M37" s="417"/>
      <c r="N37" s="308"/>
      <c r="O37" s="507"/>
      <c r="P37" s="427"/>
      <c r="Q37" s="429" t="s">
        <v>51</v>
      </c>
      <c r="R37" s="499">
        <f>2170+167</f>
        <v>2337</v>
      </c>
      <c r="S37" s="435"/>
      <c r="T37" s="440">
        <v>430</v>
      </c>
      <c r="U37" s="440">
        <v>430</v>
      </c>
      <c r="V37" s="439"/>
      <c r="W37" s="433"/>
      <c r="X37" s="379">
        <f>T37/R37</f>
        <v>0.18399657680787335</v>
      </c>
      <c r="Y37" s="342"/>
      <c r="Z37" s="342"/>
      <c r="AA37" s="628"/>
      <c r="AB37" s="534">
        <v>430</v>
      </c>
      <c r="AC37" s="534">
        <v>430</v>
      </c>
      <c r="AD37" s="591"/>
      <c r="AE37" s="328"/>
      <c r="AF37" s="239">
        <f>AB37/R37</f>
        <v>0.18399657680787335</v>
      </c>
      <c r="AG37" s="239"/>
      <c r="AH37" s="236"/>
      <c r="AI37" s="386"/>
      <c r="AJ37" s="383">
        <v>35</v>
      </c>
      <c r="AK37" s="379">
        <f>AJ37/R37</f>
        <v>1.4976465554129225E-2</v>
      </c>
      <c r="AL37" s="342"/>
      <c r="AM37" s="342"/>
      <c r="AN37" s="354"/>
      <c r="AO37" s="344">
        <v>0</v>
      </c>
      <c r="AP37" s="340">
        <f>0/R37</f>
        <v>0</v>
      </c>
      <c r="AQ37" s="342"/>
      <c r="AR37" s="351"/>
      <c r="AS37" s="351"/>
      <c r="AT37" s="700"/>
      <c r="AU37" s="331"/>
      <c r="AV37" s="328"/>
      <c r="AW37" s="262"/>
      <c r="AX37" s="262">
        <f>AO37+AJ37+AB37</f>
        <v>465</v>
      </c>
      <c r="AY37" s="238">
        <f>AX37/R37</f>
        <v>0.19897304236200256</v>
      </c>
      <c r="AZ37" s="236"/>
      <c r="BA37" s="233"/>
      <c r="BB37" s="230"/>
      <c r="BC37" s="423" t="s">
        <v>182</v>
      </c>
      <c r="BD37" s="297" t="s">
        <v>270</v>
      </c>
      <c r="BE37" s="297" t="s">
        <v>271</v>
      </c>
      <c r="BF37" s="297" t="s">
        <v>328</v>
      </c>
      <c r="BG37" s="301"/>
      <c r="BH37" s="475"/>
      <c r="BI37" s="523"/>
      <c r="BJ37" s="524"/>
      <c r="BK37" s="525"/>
      <c r="BL37" s="308"/>
      <c r="BM37" s="308"/>
      <c r="BN37" s="593"/>
      <c r="BO37" s="314"/>
      <c r="BP37" s="314"/>
      <c r="BQ37" s="281"/>
      <c r="BR37" s="617"/>
      <c r="BS37" s="617"/>
      <c r="BT37" s="648"/>
      <c r="BU37" s="314"/>
      <c r="BV37" s="314"/>
      <c r="BW37" s="281"/>
      <c r="BX37" s="314"/>
      <c r="BY37" s="314"/>
      <c r="BZ37" s="281"/>
      <c r="CA37" s="684"/>
      <c r="CB37" s="648"/>
      <c r="CC37" s="314"/>
      <c r="CD37" s="314"/>
      <c r="CE37" s="281"/>
      <c r="CF37" s="289"/>
      <c r="CG37" s="289"/>
      <c r="CH37" s="291"/>
      <c r="CI37" s="275"/>
      <c r="CJ37" s="278"/>
      <c r="CK37" s="281"/>
    </row>
    <row r="38" spans="4:89" ht="15" customHeight="1" x14ac:dyDescent="0.25">
      <c r="D38" s="461"/>
      <c r="E38" s="308"/>
      <c r="F38" s="473"/>
      <c r="G38" s="308"/>
      <c r="H38" s="308"/>
      <c r="I38" s="308"/>
      <c r="J38" s="308"/>
      <c r="K38" s="308"/>
      <c r="L38" s="417"/>
      <c r="M38" s="417"/>
      <c r="N38" s="308"/>
      <c r="O38" s="507"/>
      <c r="P38" s="427"/>
      <c r="Q38" s="429"/>
      <c r="R38" s="499"/>
      <c r="S38" s="435"/>
      <c r="T38" s="532"/>
      <c r="U38" s="532"/>
      <c r="V38" s="439"/>
      <c r="W38" s="433"/>
      <c r="X38" s="379"/>
      <c r="Y38" s="342"/>
      <c r="Z38" s="342"/>
      <c r="AA38" s="628"/>
      <c r="AB38" s="630"/>
      <c r="AC38" s="630"/>
      <c r="AD38" s="591"/>
      <c r="AE38" s="328"/>
      <c r="AF38" s="239"/>
      <c r="AG38" s="239"/>
      <c r="AH38" s="236"/>
      <c r="AI38" s="386"/>
      <c r="AJ38" s="383"/>
      <c r="AK38" s="379"/>
      <c r="AL38" s="342"/>
      <c r="AM38" s="342"/>
      <c r="AN38" s="354"/>
      <c r="AO38" s="344"/>
      <c r="AP38" s="340"/>
      <c r="AQ38" s="342"/>
      <c r="AR38" s="351"/>
      <c r="AS38" s="351"/>
      <c r="AT38" s="700"/>
      <c r="AU38" s="331"/>
      <c r="AV38" s="328"/>
      <c r="AW38" s="262"/>
      <c r="AX38" s="262"/>
      <c r="AY38" s="238"/>
      <c r="AZ38" s="236"/>
      <c r="BA38" s="233"/>
      <c r="BB38" s="230"/>
      <c r="BC38" s="424"/>
      <c r="BD38" s="297"/>
      <c r="BE38" s="297"/>
      <c r="BF38" s="297"/>
      <c r="BG38" s="301"/>
      <c r="BH38" s="475" t="s">
        <v>52</v>
      </c>
      <c r="BI38" s="523"/>
      <c r="BJ38" s="524"/>
      <c r="BK38" s="525"/>
      <c r="BL38" s="308"/>
      <c r="BM38" s="308"/>
      <c r="BN38" s="593"/>
      <c r="BO38" s="314"/>
      <c r="BP38" s="314"/>
      <c r="BQ38" s="281"/>
      <c r="BR38" s="617"/>
      <c r="BS38" s="617"/>
      <c r="BT38" s="648"/>
      <c r="BU38" s="314"/>
      <c r="BV38" s="314"/>
      <c r="BW38" s="281"/>
      <c r="BX38" s="314"/>
      <c r="BY38" s="314"/>
      <c r="BZ38" s="281"/>
      <c r="CA38" s="684"/>
      <c r="CB38" s="648"/>
      <c r="CC38" s="314"/>
      <c r="CD38" s="314"/>
      <c r="CE38" s="281"/>
      <c r="CF38" s="289"/>
      <c r="CG38" s="289"/>
      <c r="CH38" s="291"/>
      <c r="CI38" s="275"/>
      <c r="CJ38" s="278"/>
      <c r="CK38" s="281"/>
    </row>
    <row r="39" spans="4:89" ht="15" customHeight="1" x14ac:dyDescent="0.25">
      <c r="D39" s="461"/>
      <c r="E39" s="308"/>
      <c r="F39" s="473"/>
      <c r="G39" s="308"/>
      <c r="H39" s="308"/>
      <c r="I39" s="308"/>
      <c r="J39" s="308"/>
      <c r="K39" s="308"/>
      <c r="L39" s="417"/>
      <c r="M39" s="417"/>
      <c r="N39" s="308"/>
      <c r="O39" s="507"/>
      <c r="P39" s="427"/>
      <c r="Q39" s="429"/>
      <c r="R39" s="499"/>
      <c r="S39" s="435"/>
      <c r="T39" s="532"/>
      <c r="U39" s="532"/>
      <c r="V39" s="439"/>
      <c r="W39" s="433"/>
      <c r="X39" s="379"/>
      <c r="Y39" s="342"/>
      <c r="Z39" s="342"/>
      <c r="AA39" s="628"/>
      <c r="AB39" s="630"/>
      <c r="AC39" s="630"/>
      <c r="AD39" s="591"/>
      <c r="AE39" s="328"/>
      <c r="AF39" s="239"/>
      <c r="AG39" s="239"/>
      <c r="AH39" s="236"/>
      <c r="AI39" s="386"/>
      <c r="AJ39" s="383"/>
      <c r="AK39" s="379"/>
      <c r="AL39" s="342"/>
      <c r="AM39" s="342"/>
      <c r="AN39" s="354"/>
      <c r="AO39" s="344"/>
      <c r="AP39" s="340"/>
      <c r="AQ39" s="342"/>
      <c r="AR39" s="351"/>
      <c r="AS39" s="351"/>
      <c r="AT39" s="700"/>
      <c r="AU39" s="331"/>
      <c r="AV39" s="328"/>
      <c r="AW39" s="262"/>
      <c r="AX39" s="262"/>
      <c r="AY39" s="238"/>
      <c r="AZ39" s="236"/>
      <c r="BA39" s="233"/>
      <c r="BB39" s="230"/>
      <c r="BC39" s="424"/>
      <c r="BD39" s="297"/>
      <c r="BE39" s="297"/>
      <c r="BF39" s="297"/>
      <c r="BG39" s="301"/>
      <c r="BH39" s="475"/>
      <c r="BI39" s="523"/>
      <c r="BJ39" s="524"/>
      <c r="BK39" s="525"/>
      <c r="BL39" s="308"/>
      <c r="BM39" s="308"/>
      <c r="BN39" s="593"/>
      <c r="BO39" s="314"/>
      <c r="BP39" s="314"/>
      <c r="BQ39" s="281"/>
      <c r="BR39" s="617"/>
      <c r="BS39" s="617"/>
      <c r="BT39" s="648"/>
      <c r="BU39" s="314"/>
      <c r="BV39" s="314"/>
      <c r="BW39" s="281"/>
      <c r="BX39" s="314"/>
      <c r="BY39" s="314"/>
      <c r="BZ39" s="281"/>
      <c r="CA39" s="684"/>
      <c r="CB39" s="648"/>
      <c r="CC39" s="314"/>
      <c r="CD39" s="314"/>
      <c r="CE39" s="281"/>
      <c r="CF39" s="289"/>
      <c r="CG39" s="289"/>
      <c r="CH39" s="291"/>
      <c r="CI39" s="275"/>
      <c r="CJ39" s="278"/>
      <c r="CK39" s="281"/>
    </row>
    <row r="40" spans="4:89" ht="15" customHeight="1" x14ac:dyDescent="0.25">
      <c r="D40" s="461"/>
      <c r="E40" s="308"/>
      <c r="F40" s="473"/>
      <c r="G40" s="308"/>
      <c r="H40" s="308"/>
      <c r="I40" s="308"/>
      <c r="J40" s="308"/>
      <c r="K40" s="308"/>
      <c r="L40" s="417"/>
      <c r="M40" s="417"/>
      <c r="N40" s="308"/>
      <c r="O40" s="507"/>
      <c r="P40" s="427"/>
      <c r="Q40" s="429"/>
      <c r="R40" s="499"/>
      <c r="S40" s="435"/>
      <c r="T40" s="532"/>
      <c r="U40" s="532"/>
      <c r="V40" s="439"/>
      <c r="W40" s="433"/>
      <c r="X40" s="379"/>
      <c r="Y40" s="342"/>
      <c r="Z40" s="342"/>
      <c r="AA40" s="628"/>
      <c r="AB40" s="630"/>
      <c r="AC40" s="630"/>
      <c r="AD40" s="591"/>
      <c r="AE40" s="328"/>
      <c r="AF40" s="239"/>
      <c r="AG40" s="239"/>
      <c r="AH40" s="236"/>
      <c r="AI40" s="386"/>
      <c r="AJ40" s="383"/>
      <c r="AK40" s="379"/>
      <c r="AL40" s="342"/>
      <c r="AM40" s="342"/>
      <c r="AN40" s="354"/>
      <c r="AO40" s="344"/>
      <c r="AP40" s="340"/>
      <c r="AQ40" s="342"/>
      <c r="AR40" s="351"/>
      <c r="AS40" s="351"/>
      <c r="AT40" s="700"/>
      <c r="AU40" s="331"/>
      <c r="AV40" s="328"/>
      <c r="AW40" s="262"/>
      <c r="AX40" s="262"/>
      <c r="AY40" s="238"/>
      <c r="AZ40" s="236"/>
      <c r="BA40" s="233"/>
      <c r="BB40" s="230"/>
      <c r="BC40" s="424"/>
      <c r="BD40" s="297"/>
      <c r="BE40" s="297"/>
      <c r="BF40" s="297"/>
      <c r="BG40" s="301"/>
      <c r="BH40" s="475"/>
      <c r="BI40" s="523"/>
      <c r="BJ40" s="524"/>
      <c r="BK40" s="525"/>
      <c r="BL40" s="308"/>
      <c r="BM40" s="308"/>
      <c r="BN40" s="593"/>
      <c r="BO40" s="314"/>
      <c r="BP40" s="314"/>
      <c r="BQ40" s="281"/>
      <c r="BR40" s="617"/>
      <c r="BS40" s="617"/>
      <c r="BT40" s="648"/>
      <c r="BU40" s="314"/>
      <c r="BV40" s="314"/>
      <c r="BW40" s="281"/>
      <c r="BX40" s="314"/>
      <c r="BY40" s="314"/>
      <c r="BZ40" s="281"/>
      <c r="CA40" s="684"/>
      <c r="CB40" s="648"/>
      <c r="CC40" s="314"/>
      <c r="CD40" s="314"/>
      <c r="CE40" s="281"/>
      <c r="CF40" s="289"/>
      <c r="CG40" s="289"/>
      <c r="CH40" s="291"/>
      <c r="CI40" s="275"/>
      <c r="CJ40" s="278"/>
      <c r="CK40" s="281"/>
    </row>
    <row r="41" spans="4:89" ht="15" customHeight="1" x14ac:dyDescent="0.25">
      <c r="D41" s="461"/>
      <c r="E41" s="308"/>
      <c r="F41" s="473"/>
      <c r="G41" s="308"/>
      <c r="H41" s="308"/>
      <c r="I41" s="308"/>
      <c r="J41" s="308"/>
      <c r="K41" s="308"/>
      <c r="L41" s="417"/>
      <c r="M41" s="417"/>
      <c r="N41" s="308"/>
      <c r="O41" s="507"/>
      <c r="P41" s="427"/>
      <c r="Q41" s="429"/>
      <c r="R41" s="499"/>
      <c r="S41" s="435"/>
      <c r="T41" s="532"/>
      <c r="U41" s="532"/>
      <c r="V41" s="439"/>
      <c r="W41" s="433"/>
      <c r="X41" s="379"/>
      <c r="Y41" s="342"/>
      <c r="Z41" s="342"/>
      <c r="AA41" s="628"/>
      <c r="AB41" s="630"/>
      <c r="AC41" s="630"/>
      <c r="AD41" s="591"/>
      <c r="AE41" s="328"/>
      <c r="AF41" s="239"/>
      <c r="AG41" s="239"/>
      <c r="AH41" s="236"/>
      <c r="AI41" s="386"/>
      <c r="AJ41" s="383"/>
      <c r="AK41" s="379"/>
      <c r="AL41" s="342"/>
      <c r="AM41" s="342"/>
      <c r="AN41" s="354"/>
      <c r="AO41" s="344"/>
      <c r="AP41" s="340"/>
      <c r="AQ41" s="342"/>
      <c r="AR41" s="351"/>
      <c r="AS41" s="351"/>
      <c r="AT41" s="700"/>
      <c r="AU41" s="331"/>
      <c r="AV41" s="328"/>
      <c r="AW41" s="262"/>
      <c r="AX41" s="262"/>
      <c r="AY41" s="238"/>
      <c r="AZ41" s="236"/>
      <c r="BA41" s="233"/>
      <c r="BB41" s="230"/>
      <c r="BC41" s="424"/>
      <c r="BD41" s="297"/>
      <c r="BE41" s="297"/>
      <c r="BF41" s="297"/>
      <c r="BG41" s="301"/>
      <c r="BH41" s="475"/>
      <c r="BI41" s="523"/>
      <c r="BJ41" s="524"/>
      <c r="BK41" s="525"/>
      <c r="BL41" s="308"/>
      <c r="BM41" s="308"/>
      <c r="BN41" s="593"/>
      <c r="BO41" s="314"/>
      <c r="BP41" s="314"/>
      <c r="BQ41" s="281"/>
      <c r="BR41" s="617"/>
      <c r="BS41" s="617"/>
      <c r="BT41" s="648"/>
      <c r="BU41" s="314"/>
      <c r="BV41" s="314"/>
      <c r="BW41" s="281"/>
      <c r="BX41" s="314"/>
      <c r="BY41" s="314"/>
      <c r="BZ41" s="281"/>
      <c r="CA41" s="684"/>
      <c r="CB41" s="648"/>
      <c r="CC41" s="314"/>
      <c r="CD41" s="314"/>
      <c r="CE41" s="281"/>
      <c r="CF41" s="289"/>
      <c r="CG41" s="289"/>
      <c r="CH41" s="291"/>
      <c r="CI41" s="275"/>
      <c r="CJ41" s="278"/>
      <c r="CK41" s="281"/>
    </row>
    <row r="42" spans="4:89" ht="64.5" customHeight="1" x14ac:dyDescent="0.25">
      <c r="D42" s="461"/>
      <c r="E42" s="308"/>
      <c r="F42" s="473"/>
      <c r="G42" s="308"/>
      <c r="H42" s="308"/>
      <c r="I42" s="308"/>
      <c r="J42" s="308"/>
      <c r="K42" s="308"/>
      <c r="L42" s="417"/>
      <c r="M42" s="417"/>
      <c r="N42" s="308"/>
      <c r="O42" s="507"/>
      <c r="P42" s="427"/>
      <c r="Q42" s="429"/>
      <c r="R42" s="499"/>
      <c r="S42" s="435"/>
      <c r="T42" s="533"/>
      <c r="U42" s="533"/>
      <c r="V42" s="439"/>
      <c r="W42" s="433"/>
      <c r="X42" s="379"/>
      <c r="Y42" s="342"/>
      <c r="Z42" s="342"/>
      <c r="AA42" s="628"/>
      <c r="AB42" s="631"/>
      <c r="AC42" s="631"/>
      <c r="AD42" s="591"/>
      <c r="AE42" s="328"/>
      <c r="AF42" s="239"/>
      <c r="AG42" s="239"/>
      <c r="AH42" s="236"/>
      <c r="AI42" s="386"/>
      <c r="AJ42" s="383"/>
      <c r="AK42" s="379"/>
      <c r="AL42" s="342"/>
      <c r="AM42" s="342"/>
      <c r="AN42" s="354"/>
      <c r="AO42" s="344"/>
      <c r="AP42" s="340"/>
      <c r="AQ42" s="342"/>
      <c r="AR42" s="351"/>
      <c r="AS42" s="351"/>
      <c r="AT42" s="700"/>
      <c r="AU42" s="331"/>
      <c r="AV42" s="328"/>
      <c r="AW42" s="262"/>
      <c r="AX42" s="262"/>
      <c r="AY42" s="238"/>
      <c r="AZ42" s="236"/>
      <c r="BA42" s="233"/>
      <c r="BB42" s="230"/>
      <c r="BC42" s="425"/>
      <c r="BD42" s="297"/>
      <c r="BE42" s="297"/>
      <c r="BF42" s="297"/>
      <c r="BG42" s="301"/>
      <c r="BH42" s="475"/>
      <c r="BI42" s="523"/>
      <c r="BJ42" s="524"/>
      <c r="BK42" s="525"/>
      <c r="BL42" s="308"/>
      <c r="BM42" s="308"/>
      <c r="BN42" s="593"/>
      <c r="BO42" s="314"/>
      <c r="BP42" s="314"/>
      <c r="BQ42" s="281"/>
      <c r="BR42" s="617"/>
      <c r="BS42" s="617"/>
      <c r="BT42" s="648"/>
      <c r="BU42" s="314"/>
      <c r="BV42" s="314"/>
      <c r="BW42" s="281"/>
      <c r="BX42" s="314"/>
      <c r="BY42" s="314"/>
      <c r="BZ42" s="281"/>
      <c r="CA42" s="684"/>
      <c r="CB42" s="648"/>
      <c r="CC42" s="314"/>
      <c r="CD42" s="314"/>
      <c r="CE42" s="281"/>
      <c r="CF42" s="289"/>
      <c r="CG42" s="289"/>
      <c r="CH42" s="291"/>
      <c r="CI42" s="275"/>
      <c r="CJ42" s="278"/>
      <c r="CK42" s="281"/>
    </row>
    <row r="43" spans="4:89" ht="15" customHeight="1" x14ac:dyDescent="0.25">
      <c r="D43" s="461"/>
      <c r="E43" s="308"/>
      <c r="F43" s="473"/>
      <c r="G43" s="308"/>
      <c r="H43" s="308"/>
      <c r="I43" s="308"/>
      <c r="J43" s="308"/>
      <c r="K43" s="308"/>
      <c r="L43" s="417"/>
      <c r="M43" s="417"/>
      <c r="N43" s="308"/>
      <c r="O43" s="507"/>
      <c r="P43" s="427"/>
      <c r="Q43" s="419" t="s">
        <v>53</v>
      </c>
      <c r="R43" s="499">
        <f>17408+250+5207</f>
        <v>22865</v>
      </c>
      <c r="S43" s="435"/>
      <c r="T43" s="469">
        <f>55+1212+1220</f>
        <v>2487</v>
      </c>
      <c r="U43" s="469">
        <f>55+1212+1220</f>
        <v>2487</v>
      </c>
      <c r="V43" s="439"/>
      <c r="W43" s="433"/>
      <c r="X43" s="379">
        <f>T43/R43</f>
        <v>0.10876886070413296</v>
      </c>
      <c r="Y43" s="342"/>
      <c r="Z43" s="342"/>
      <c r="AA43" s="628"/>
      <c r="AB43" s="623">
        <f>55+1212+1220+6042+6042+3414</f>
        <v>17985</v>
      </c>
      <c r="AC43" s="623">
        <f>55+1212+1220</f>
        <v>2487</v>
      </c>
      <c r="AD43" s="591"/>
      <c r="AE43" s="328"/>
      <c r="AF43" s="239">
        <f>AB43/R43</f>
        <v>0.78657336540564182</v>
      </c>
      <c r="AG43" s="239"/>
      <c r="AH43" s="236"/>
      <c r="AI43" s="386"/>
      <c r="AJ43" s="380">
        <f>608+2322+2999</f>
        <v>5929</v>
      </c>
      <c r="AK43" s="341">
        <f>AJ43/R43</f>
        <v>0.25930461403892413</v>
      </c>
      <c r="AL43" s="342"/>
      <c r="AM43" s="342"/>
      <c r="AN43" s="354"/>
      <c r="AO43" s="336">
        <f>4564+661+7072</f>
        <v>12297</v>
      </c>
      <c r="AP43" s="345">
        <f>AO43/R43</f>
        <v>0.5378088781981194</v>
      </c>
      <c r="AQ43" s="342"/>
      <c r="AR43" s="351"/>
      <c r="AS43" s="351"/>
      <c r="AT43" s="700"/>
      <c r="AU43" s="331"/>
      <c r="AV43" s="328"/>
      <c r="AW43" s="262"/>
      <c r="AX43" s="265">
        <f>AO43+AJ43+AB43</f>
        <v>36211</v>
      </c>
      <c r="AY43" s="239">
        <v>1</v>
      </c>
      <c r="AZ43" s="236"/>
      <c r="BA43" s="233"/>
      <c r="BB43" s="230"/>
      <c r="BC43" s="423" t="s">
        <v>192</v>
      </c>
      <c r="BD43" s="297" t="s">
        <v>255</v>
      </c>
      <c r="BE43" s="297" t="s">
        <v>269</v>
      </c>
      <c r="BF43" s="297" t="s">
        <v>329</v>
      </c>
      <c r="BG43" s="301"/>
      <c r="BH43" s="475" t="s">
        <v>54</v>
      </c>
      <c r="BI43" s="523"/>
      <c r="BJ43" s="524"/>
      <c r="BK43" s="525"/>
      <c r="BL43" s="308"/>
      <c r="BM43" s="308"/>
      <c r="BN43" s="593"/>
      <c r="BO43" s="314"/>
      <c r="BP43" s="314"/>
      <c r="BQ43" s="281"/>
      <c r="BR43" s="617"/>
      <c r="BS43" s="617"/>
      <c r="BT43" s="648"/>
      <c r="BU43" s="314"/>
      <c r="BV43" s="314"/>
      <c r="BW43" s="281"/>
      <c r="BX43" s="314"/>
      <c r="BY43" s="314"/>
      <c r="BZ43" s="281"/>
      <c r="CA43" s="684"/>
      <c r="CB43" s="648"/>
      <c r="CC43" s="314"/>
      <c r="CD43" s="314"/>
      <c r="CE43" s="281"/>
      <c r="CF43" s="289"/>
      <c r="CG43" s="289"/>
      <c r="CH43" s="291"/>
      <c r="CI43" s="275"/>
      <c r="CJ43" s="278"/>
      <c r="CK43" s="281"/>
    </row>
    <row r="44" spans="4:89" ht="15" customHeight="1" x14ac:dyDescent="0.25">
      <c r="D44" s="461"/>
      <c r="E44" s="308"/>
      <c r="F44" s="473"/>
      <c r="G44" s="308"/>
      <c r="H44" s="308"/>
      <c r="I44" s="308"/>
      <c r="J44" s="308"/>
      <c r="K44" s="308"/>
      <c r="L44" s="417"/>
      <c r="M44" s="417"/>
      <c r="N44" s="308"/>
      <c r="O44" s="507"/>
      <c r="P44" s="427"/>
      <c r="Q44" s="507"/>
      <c r="R44" s="499"/>
      <c r="S44" s="435"/>
      <c r="T44" s="403"/>
      <c r="U44" s="403"/>
      <c r="V44" s="439"/>
      <c r="W44" s="433"/>
      <c r="X44" s="379"/>
      <c r="Y44" s="342"/>
      <c r="Z44" s="342"/>
      <c r="AA44" s="628"/>
      <c r="AB44" s="518"/>
      <c r="AC44" s="518"/>
      <c r="AD44" s="591"/>
      <c r="AE44" s="328"/>
      <c r="AF44" s="239"/>
      <c r="AG44" s="239"/>
      <c r="AH44" s="236"/>
      <c r="AI44" s="386"/>
      <c r="AJ44" s="381"/>
      <c r="AK44" s="342"/>
      <c r="AL44" s="342"/>
      <c r="AM44" s="342"/>
      <c r="AN44" s="354"/>
      <c r="AO44" s="337"/>
      <c r="AP44" s="347"/>
      <c r="AQ44" s="342"/>
      <c r="AR44" s="351"/>
      <c r="AS44" s="351"/>
      <c r="AT44" s="700"/>
      <c r="AU44" s="331"/>
      <c r="AV44" s="328"/>
      <c r="AW44" s="262"/>
      <c r="AX44" s="261"/>
      <c r="AY44" s="239"/>
      <c r="AZ44" s="236"/>
      <c r="BA44" s="233"/>
      <c r="BB44" s="230"/>
      <c r="BC44" s="424"/>
      <c r="BD44" s="297"/>
      <c r="BE44" s="297"/>
      <c r="BF44" s="297"/>
      <c r="BG44" s="301"/>
      <c r="BH44" s="475"/>
      <c r="BI44" s="523"/>
      <c r="BJ44" s="524"/>
      <c r="BK44" s="525"/>
      <c r="BL44" s="308"/>
      <c r="BM44" s="308"/>
      <c r="BN44" s="593"/>
      <c r="BO44" s="314"/>
      <c r="BP44" s="314"/>
      <c r="BQ44" s="281"/>
      <c r="BR44" s="617"/>
      <c r="BS44" s="617"/>
      <c r="BT44" s="648"/>
      <c r="BU44" s="314"/>
      <c r="BV44" s="314"/>
      <c r="BW44" s="281"/>
      <c r="BX44" s="314"/>
      <c r="BY44" s="314"/>
      <c r="BZ44" s="281"/>
      <c r="CA44" s="684"/>
      <c r="CB44" s="648"/>
      <c r="CC44" s="314"/>
      <c r="CD44" s="314"/>
      <c r="CE44" s="281"/>
      <c r="CF44" s="289"/>
      <c r="CG44" s="289"/>
      <c r="CH44" s="291"/>
      <c r="CI44" s="275"/>
      <c r="CJ44" s="278"/>
      <c r="CK44" s="281"/>
    </row>
    <row r="45" spans="4:89" ht="15" customHeight="1" x14ac:dyDescent="0.25">
      <c r="D45" s="461"/>
      <c r="E45" s="308"/>
      <c r="F45" s="473"/>
      <c r="G45" s="308"/>
      <c r="H45" s="308"/>
      <c r="I45" s="308"/>
      <c r="J45" s="308"/>
      <c r="K45" s="308"/>
      <c r="L45" s="417"/>
      <c r="M45" s="417"/>
      <c r="N45" s="308"/>
      <c r="O45" s="507"/>
      <c r="P45" s="427"/>
      <c r="Q45" s="507"/>
      <c r="R45" s="499"/>
      <c r="S45" s="435"/>
      <c r="T45" s="403"/>
      <c r="U45" s="403"/>
      <c r="V45" s="439"/>
      <c r="W45" s="433"/>
      <c r="X45" s="379"/>
      <c r="Y45" s="342"/>
      <c r="Z45" s="342"/>
      <c r="AA45" s="628"/>
      <c r="AB45" s="518"/>
      <c r="AC45" s="518"/>
      <c r="AD45" s="591"/>
      <c r="AE45" s="328"/>
      <c r="AF45" s="239"/>
      <c r="AG45" s="239"/>
      <c r="AH45" s="236"/>
      <c r="AI45" s="386"/>
      <c r="AJ45" s="381"/>
      <c r="AK45" s="342"/>
      <c r="AL45" s="342"/>
      <c r="AM45" s="342"/>
      <c r="AN45" s="354"/>
      <c r="AO45" s="337"/>
      <c r="AP45" s="347"/>
      <c r="AQ45" s="342"/>
      <c r="AR45" s="351"/>
      <c r="AS45" s="351"/>
      <c r="AT45" s="700"/>
      <c r="AU45" s="331"/>
      <c r="AV45" s="328"/>
      <c r="AW45" s="262"/>
      <c r="AX45" s="261"/>
      <c r="AY45" s="239"/>
      <c r="AZ45" s="236"/>
      <c r="BA45" s="233"/>
      <c r="BB45" s="230"/>
      <c r="BC45" s="424"/>
      <c r="BD45" s="297"/>
      <c r="BE45" s="297"/>
      <c r="BF45" s="297"/>
      <c r="BG45" s="301"/>
      <c r="BH45" s="475"/>
      <c r="BI45" s="523"/>
      <c r="BJ45" s="524"/>
      <c r="BK45" s="525"/>
      <c r="BL45" s="308"/>
      <c r="BM45" s="308"/>
      <c r="BN45" s="593"/>
      <c r="BO45" s="314"/>
      <c r="BP45" s="314"/>
      <c r="BQ45" s="281"/>
      <c r="BR45" s="617"/>
      <c r="BS45" s="617"/>
      <c r="BT45" s="648"/>
      <c r="BU45" s="314"/>
      <c r="BV45" s="314"/>
      <c r="BW45" s="281"/>
      <c r="BX45" s="314"/>
      <c r="BY45" s="314"/>
      <c r="BZ45" s="281"/>
      <c r="CA45" s="684"/>
      <c r="CB45" s="648"/>
      <c r="CC45" s="314"/>
      <c r="CD45" s="314"/>
      <c r="CE45" s="281"/>
      <c r="CF45" s="289"/>
      <c r="CG45" s="289"/>
      <c r="CH45" s="291"/>
      <c r="CI45" s="275"/>
      <c r="CJ45" s="278"/>
      <c r="CK45" s="281"/>
    </row>
    <row r="46" spans="4:89" ht="15" customHeight="1" x14ac:dyDescent="0.25">
      <c r="D46" s="461"/>
      <c r="E46" s="308"/>
      <c r="F46" s="473"/>
      <c r="G46" s="308"/>
      <c r="H46" s="308"/>
      <c r="I46" s="308"/>
      <c r="J46" s="308"/>
      <c r="K46" s="308"/>
      <c r="L46" s="417"/>
      <c r="M46" s="417"/>
      <c r="N46" s="308"/>
      <c r="O46" s="507"/>
      <c r="P46" s="427"/>
      <c r="Q46" s="507"/>
      <c r="R46" s="499"/>
      <c r="S46" s="435"/>
      <c r="T46" s="403"/>
      <c r="U46" s="403"/>
      <c r="V46" s="439"/>
      <c r="W46" s="433"/>
      <c r="X46" s="379"/>
      <c r="Y46" s="342"/>
      <c r="Z46" s="342"/>
      <c r="AA46" s="628"/>
      <c r="AB46" s="518"/>
      <c r="AC46" s="518"/>
      <c r="AD46" s="591"/>
      <c r="AE46" s="328"/>
      <c r="AF46" s="239"/>
      <c r="AG46" s="239"/>
      <c r="AH46" s="236"/>
      <c r="AI46" s="386"/>
      <c r="AJ46" s="381"/>
      <c r="AK46" s="342"/>
      <c r="AL46" s="342"/>
      <c r="AM46" s="342"/>
      <c r="AN46" s="354"/>
      <c r="AO46" s="337"/>
      <c r="AP46" s="347"/>
      <c r="AQ46" s="342"/>
      <c r="AR46" s="351"/>
      <c r="AS46" s="351"/>
      <c r="AT46" s="700"/>
      <c r="AU46" s="331"/>
      <c r="AV46" s="328"/>
      <c r="AW46" s="262"/>
      <c r="AX46" s="261"/>
      <c r="AY46" s="239"/>
      <c r="AZ46" s="236"/>
      <c r="BA46" s="233"/>
      <c r="BB46" s="230"/>
      <c r="BC46" s="424"/>
      <c r="BD46" s="297"/>
      <c r="BE46" s="297"/>
      <c r="BF46" s="297"/>
      <c r="BG46" s="301"/>
      <c r="BH46" s="475"/>
      <c r="BI46" s="523"/>
      <c r="BJ46" s="524"/>
      <c r="BK46" s="525"/>
      <c r="BL46" s="308"/>
      <c r="BM46" s="308"/>
      <c r="BN46" s="593"/>
      <c r="BO46" s="314"/>
      <c r="BP46" s="314"/>
      <c r="BQ46" s="281"/>
      <c r="BR46" s="617"/>
      <c r="BS46" s="617"/>
      <c r="BT46" s="648"/>
      <c r="BU46" s="314"/>
      <c r="BV46" s="314"/>
      <c r="BW46" s="281"/>
      <c r="BX46" s="314"/>
      <c r="BY46" s="314"/>
      <c r="BZ46" s="281"/>
      <c r="CA46" s="684"/>
      <c r="CB46" s="648"/>
      <c r="CC46" s="314"/>
      <c r="CD46" s="314"/>
      <c r="CE46" s="281"/>
      <c r="CF46" s="289"/>
      <c r="CG46" s="289"/>
      <c r="CH46" s="291"/>
      <c r="CI46" s="275"/>
      <c r="CJ46" s="278"/>
      <c r="CK46" s="281"/>
    </row>
    <row r="47" spans="4:89" ht="102.75" customHeight="1" x14ac:dyDescent="0.25">
      <c r="D47" s="461"/>
      <c r="E47" s="308"/>
      <c r="F47" s="473"/>
      <c r="G47" s="308"/>
      <c r="H47" s="308"/>
      <c r="I47" s="308"/>
      <c r="J47" s="308"/>
      <c r="K47" s="308"/>
      <c r="L47" s="417"/>
      <c r="M47" s="417"/>
      <c r="N47" s="308"/>
      <c r="O47" s="507"/>
      <c r="P47" s="427"/>
      <c r="Q47" s="508"/>
      <c r="R47" s="499"/>
      <c r="S47" s="435"/>
      <c r="T47" s="404"/>
      <c r="U47" s="404"/>
      <c r="V47" s="439"/>
      <c r="W47" s="433"/>
      <c r="X47" s="379"/>
      <c r="Y47" s="342"/>
      <c r="Z47" s="342"/>
      <c r="AA47" s="628"/>
      <c r="AB47" s="519"/>
      <c r="AC47" s="519"/>
      <c r="AD47" s="591"/>
      <c r="AE47" s="328"/>
      <c r="AF47" s="239"/>
      <c r="AG47" s="239"/>
      <c r="AH47" s="236"/>
      <c r="AI47" s="386"/>
      <c r="AJ47" s="382"/>
      <c r="AK47" s="343"/>
      <c r="AL47" s="342"/>
      <c r="AM47" s="342"/>
      <c r="AN47" s="354"/>
      <c r="AO47" s="338"/>
      <c r="AP47" s="346"/>
      <c r="AQ47" s="342"/>
      <c r="AR47" s="351"/>
      <c r="AS47" s="351"/>
      <c r="AT47" s="700"/>
      <c r="AU47" s="331"/>
      <c r="AV47" s="328"/>
      <c r="AW47" s="262"/>
      <c r="AX47" s="261"/>
      <c r="AY47" s="239"/>
      <c r="AZ47" s="236"/>
      <c r="BA47" s="233"/>
      <c r="BB47" s="230"/>
      <c r="BC47" s="425"/>
      <c r="BD47" s="297"/>
      <c r="BE47" s="297"/>
      <c r="BF47" s="297"/>
      <c r="BG47" s="301"/>
      <c r="BH47" s="475"/>
      <c r="BI47" s="523"/>
      <c r="BJ47" s="524"/>
      <c r="BK47" s="525"/>
      <c r="BL47" s="308"/>
      <c r="BM47" s="308"/>
      <c r="BN47" s="593"/>
      <c r="BO47" s="314"/>
      <c r="BP47" s="314"/>
      <c r="BQ47" s="281"/>
      <c r="BR47" s="617"/>
      <c r="BS47" s="617"/>
      <c r="BT47" s="648"/>
      <c r="BU47" s="314"/>
      <c r="BV47" s="314"/>
      <c r="BW47" s="281"/>
      <c r="BX47" s="314"/>
      <c r="BY47" s="314"/>
      <c r="BZ47" s="281"/>
      <c r="CA47" s="684"/>
      <c r="CB47" s="648"/>
      <c r="CC47" s="314"/>
      <c r="CD47" s="314"/>
      <c r="CE47" s="281"/>
      <c r="CF47" s="289"/>
      <c r="CG47" s="289"/>
      <c r="CH47" s="291"/>
      <c r="CI47" s="275"/>
      <c r="CJ47" s="278"/>
      <c r="CK47" s="281"/>
    </row>
    <row r="48" spans="4:89" ht="96.75" customHeight="1" x14ac:dyDescent="0.25">
      <c r="D48" s="461"/>
      <c r="E48" s="308"/>
      <c r="F48" s="473"/>
      <c r="G48" s="308"/>
      <c r="H48" s="308"/>
      <c r="I48" s="308"/>
      <c r="J48" s="308"/>
      <c r="K48" s="308"/>
      <c r="L48" s="417"/>
      <c r="M48" s="417"/>
      <c r="N48" s="308"/>
      <c r="O48" s="507"/>
      <c r="P48" s="427"/>
      <c r="Q48" s="429" t="s">
        <v>55</v>
      </c>
      <c r="R48" s="499">
        <v>180</v>
      </c>
      <c r="S48" s="435"/>
      <c r="T48" s="128">
        <v>175</v>
      </c>
      <c r="U48" s="128">
        <v>175</v>
      </c>
      <c r="V48" s="439"/>
      <c r="W48" s="433"/>
      <c r="X48" s="195">
        <f>T48/R48</f>
        <v>0.97222222222222221</v>
      </c>
      <c r="Y48" s="342"/>
      <c r="Z48" s="342"/>
      <c r="AA48" s="628"/>
      <c r="AB48" s="114">
        <v>175</v>
      </c>
      <c r="AC48" s="114">
        <v>175</v>
      </c>
      <c r="AD48" s="591"/>
      <c r="AE48" s="328"/>
      <c r="AF48" s="115">
        <f>AB48/R48</f>
        <v>0.97222222222222221</v>
      </c>
      <c r="AG48" s="239"/>
      <c r="AH48" s="236"/>
      <c r="AI48" s="386"/>
      <c r="AJ48" s="123">
        <v>0</v>
      </c>
      <c r="AK48" s="195">
        <f>AJ48/R48</f>
        <v>0</v>
      </c>
      <c r="AL48" s="342"/>
      <c r="AM48" s="342"/>
      <c r="AN48" s="354"/>
      <c r="AO48" s="172">
        <v>0</v>
      </c>
      <c r="AP48" s="173">
        <f>AO48/R48</f>
        <v>0</v>
      </c>
      <c r="AQ48" s="342"/>
      <c r="AR48" s="351"/>
      <c r="AS48" s="351"/>
      <c r="AT48" s="700"/>
      <c r="AU48" s="331"/>
      <c r="AV48" s="328"/>
      <c r="AW48" s="262"/>
      <c r="AX48" s="206">
        <f>AO48+AJ48+AB48</f>
        <v>175</v>
      </c>
      <c r="AY48" s="134">
        <f>AX48/R48</f>
        <v>0.97222222222222221</v>
      </c>
      <c r="AZ48" s="236"/>
      <c r="BA48" s="233"/>
      <c r="BB48" s="230"/>
      <c r="BC48" s="22" t="s">
        <v>189</v>
      </c>
      <c r="BD48" s="55" t="s">
        <v>226</v>
      </c>
      <c r="BE48" s="87" t="s">
        <v>272</v>
      </c>
      <c r="BF48" s="91" t="s">
        <v>330</v>
      </c>
      <c r="BG48" s="301"/>
      <c r="BH48" s="16" t="s">
        <v>56</v>
      </c>
      <c r="BI48" s="523"/>
      <c r="BJ48" s="524"/>
      <c r="BK48" s="525"/>
      <c r="BL48" s="308"/>
      <c r="BM48" s="308"/>
      <c r="BN48" s="593"/>
      <c r="BO48" s="314"/>
      <c r="BP48" s="314"/>
      <c r="BQ48" s="281"/>
      <c r="BR48" s="617"/>
      <c r="BS48" s="617"/>
      <c r="BT48" s="648"/>
      <c r="BU48" s="314"/>
      <c r="BV48" s="314"/>
      <c r="BW48" s="281"/>
      <c r="BX48" s="314"/>
      <c r="BY48" s="314"/>
      <c r="BZ48" s="281"/>
      <c r="CA48" s="684"/>
      <c r="CB48" s="648"/>
      <c r="CC48" s="314"/>
      <c r="CD48" s="314"/>
      <c r="CE48" s="281"/>
      <c r="CF48" s="289"/>
      <c r="CG48" s="289"/>
      <c r="CH48" s="291"/>
      <c r="CI48" s="275"/>
      <c r="CJ48" s="278"/>
      <c r="CK48" s="281"/>
    </row>
    <row r="49" spans="4:89" ht="15" customHeight="1" x14ac:dyDescent="0.25">
      <c r="D49" s="461"/>
      <c r="E49" s="308"/>
      <c r="F49" s="473"/>
      <c r="G49" s="308"/>
      <c r="H49" s="308"/>
      <c r="I49" s="308"/>
      <c r="J49" s="308"/>
      <c r="K49" s="308"/>
      <c r="L49" s="417"/>
      <c r="M49" s="417"/>
      <c r="N49" s="308"/>
      <c r="O49" s="507"/>
      <c r="P49" s="427"/>
      <c r="Q49" s="429"/>
      <c r="R49" s="499"/>
      <c r="S49" s="435"/>
      <c r="T49" s="469">
        <v>336</v>
      </c>
      <c r="U49" s="469">
        <v>336</v>
      </c>
      <c r="V49" s="439"/>
      <c r="W49" s="433"/>
      <c r="X49" s="379">
        <v>1</v>
      </c>
      <c r="Y49" s="342"/>
      <c r="Z49" s="342"/>
      <c r="AA49" s="628"/>
      <c r="AB49" s="623">
        <v>324</v>
      </c>
      <c r="AC49" s="623">
        <v>324</v>
      </c>
      <c r="AD49" s="591"/>
      <c r="AE49" s="328"/>
      <c r="AF49" s="239">
        <v>1</v>
      </c>
      <c r="AG49" s="239"/>
      <c r="AH49" s="236"/>
      <c r="AI49" s="386"/>
      <c r="AJ49" s="383">
        <v>0</v>
      </c>
      <c r="AK49" s="341">
        <f>AJ49/R50</f>
        <v>0</v>
      </c>
      <c r="AL49" s="342"/>
      <c r="AM49" s="342"/>
      <c r="AN49" s="354"/>
      <c r="AO49" s="344">
        <v>0</v>
      </c>
      <c r="AP49" s="345">
        <f>AO49/R50</f>
        <v>0</v>
      </c>
      <c r="AQ49" s="342"/>
      <c r="AR49" s="351"/>
      <c r="AS49" s="351"/>
      <c r="AT49" s="700"/>
      <c r="AU49" s="331"/>
      <c r="AV49" s="328"/>
      <c r="AW49" s="262"/>
      <c r="AX49" s="267">
        <f>AO49+AJ49+AB49</f>
        <v>324</v>
      </c>
      <c r="AY49" s="226">
        <v>1</v>
      </c>
      <c r="AZ49" s="236"/>
      <c r="BA49" s="233"/>
      <c r="BB49" s="230"/>
      <c r="BC49" s="295" t="s">
        <v>196</v>
      </c>
      <c r="BD49" s="298" t="s">
        <v>227</v>
      </c>
      <c r="BE49" s="298" t="s">
        <v>274</v>
      </c>
      <c r="BF49" s="298" t="s">
        <v>346</v>
      </c>
      <c r="BG49" s="301"/>
      <c r="BH49" s="475" t="s">
        <v>57</v>
      </c>
      <c r="BI49" s="523"/>
      <c r="BJ49" s="524"/>
      <c r="BK49" s="525"/>
      <c r="BL49" s="308"/>
      <c r="BM49" s="308"/>
      <c r="BN49" s="593"/>
      <c r="BO49" s="314"/>
      <c r="BP49" s="314"/>
      <c r="BQ49" s="281"/>
      <c r="BR49" s="617"/>
      <c r="BS49" s="617"/>
      <c r="BT49" s="648"/>
      <c r="BU49" s="314"/>
      <c r="BV49" s="314"/>
      <c r="BW49" s="281"/>
      <c r="BX49" s="314"/>
      <c r="BY49" s="314"/>
      <c r="BZ49" s="281"/>
      <c r="CA49" s="684"/>
      <c r="CB49" s="648"/>
      <c r="CC49" s="314"/>
      <c r="CD49" s="314"/>
      <c r="CE49" s="281"/>
      <c r="CF49" s="289"/>
      <c r="CG49" s="289"/>
      <c r="CH49" s="291"/>
      <c r="CI49" s="275"/>
      <c r="CJ49" s="278"/>
      <c r="CK49" s="281"/>
    </row>
    <row r="50" spans="4:89" ht="15" customHeight="1" x14ac:dyDescent="0.25">
      <c r="D50" s="461"/>
      <c r="E50" s="308"/>
      <c r="F50" s="473"/>
      <c r="G50" s="308"/>
      <c r="H50" s="308"/>
      <c r="I50" s="308"/>
      <c r="J50" s="308"/>
      <c r="K50" s="308"/>
      <c r="L50" s="417"/>
      <c r="M50" s="417"/>
      <c r="N50" s="308"/>
      <c r="O50" s="507"/>
      <c r="P50" s="427"/>
      <c r="Q50" s="423" t="s">
        <v>58</v>
      </c>
      <c r="R50" s="426">
        <v>250</v>
      </c>
      <c r="S50" s="435"/>
      <c r="T50" s="403"/>
      <c r="U50" s="403"/>
      <c r="V50" s="439"/>
      <c r="W50" s="433"/>
      <c r="X50" s="379"/>
      <c r="Y50" s="342"/>
      <c r="Z50" s="342"/>
      <c r="AA50" s="628"/>
      <c r="AB50" s="518"/>
      <c r="AC50" s="518"/>
      <c r="AD50" s="591"/>
      <c r="AE50" s="328"/>
      <c r="AF50" s="239"/>
      <c r="AG50" s="239"/>
      <c r="AH50" s="236"/>
      <c r="AI50" s="386"/>
      <c r="AJ50" s="383"/>
      <c r="AK50" s="342"/>
      <c r="AL50" s="342"/>
      <c r="AM50" s="342"/>
      <c r="AN50" s="354"/>
      <c r="AO50" s="344"/>
      <c r="AP50" s="347"/>
      <c r="AQ50" s="342"/>
      <c r="AR50" s="351"/>
      <c r="AS50" s="351"/>
      <c r="AT50" s="700"/>
      <c r="AU50" s="331"/>
      <c r="AV50" s="328"/>
      <c r="AW50" s="262"/>
      <c r="AX50" s="268"/>
      <c r="AY50" s="227"/>
      <c r="AZ50" s="236"/>
      <c r="BA50" s="233"/>
      <c r="BB50" s="230"/>
      <c r="BC50" s="296"/>
      <c r="BD50" s="298"/>
      <c r="BE50" s="298"/>
      <c r="BF50" s="298"/>
      <c r="BG50" s="301"/>
      <c r="BH50" s="475"/>
      <c r="BI50" s="523"/>
      <c r="BJ50" s="524"/>
      <c r="BK50" s="525"/>
      <c r="BL50" s="308"/>
      <c r="BM50" s="308"/>
      <c r="BN50" s="593"/>
      <c r="BO50" s="314"/>
      <c r="BP50" s="314"/>
      <c r="BQ50" s="281"/>
      <c r="BR50" s="617"/>
      <c r="BS50" s="617"/>
      <c r="BT50" s="648"/>
      <c r="BU50" s="314"/>
      <c r="BV50" s="314"/>
      <c r="BW50" s="281"/>
      <c r="BX50" s="314"/>
      <c r="BY50" s="314"/>
      <c r="BZ50" s="281"/>
      <c r="CA50" s="684"/>
      <c r="CB50" s="648"/>
      <c r="CC50" s="314"/>
      <c r="CD50" s="314"/>
      <c r="CE50" s="281"/>
      <c r="CF50" s="289"/>
      <c r="CG50" s="289"/>
      <c r="CH50" s="291"/>
      <c r="CI50" s="275"/>
      <c r="CJ50" s="278"/>
      <c r="CK50" s="281"/>
    </row>
    <row r="51" spans="4:89" ht="15" customHeight="1" x14ac:dyDescent="0.25">
      <c r="D51" s="461"/>
      <c r="E51" s="308"/>
      <c r="F51" s="473"/>
      <c r="G51" s="308"/>
      <c r="H51" s="308"/>
      <c r="I51" s="308"/>
      <c r="J51" s="308"/>
      <c r="K51" s="308"/>
      <c r="L51" s="417"/>
      <c r="M51" s="417"/>
      <c r="N51" s="308"/>
      <c r="O51" s="507"/>
      <c r="P51" s="427"/>
      <c r="Q51" s="424"/>
      <c r="R51" s="427"/>
      <c r="S51" s="435"/>
      <c r="T51" s="403"/>
      <c r="U51" s="403"/>
      <c r="V51" s="439"/>
      <c r="W51" s="433"/>
      <c r="X51" s="379"/>
      <c r="Y51" s="342"/>
      <c r="Z51" s="342"/>
      <c r="AA51" s="628"/>
      <c r="AB51" s="518"/>
      <c r="AC51" s="518"/>
      <c r="AD51" s="591"/>
      <c r="AE51" s="328"/>
      <c r="AF51" s="239"/>
      <c r="AG51" s="239"/>
      <c r="AH51" s="236"/>
      <c r="AI51" s="386"/>
      <c r="AJ51" s="383"/>
      <c r="AK51" s="342"/>
      <c r="AL51" s="342"/>
      <c r="AM51" s="342"/>
      <c r="AN51" s="354"/>
      <c r="AO51" s="344"/>
      <c r="AP51" s="347"/>
      <c r="AQ51" s="342"/>
      <c r="AR51" s="351"/>
      <c r="AS51" s="351"/>
      <c r="AT51" s="700"/>
      <c r="AU51" s="331"/>
      <c r="AV51" s="328"/>
      <c r="AW51" s="262"/>
      <c r="AX51" s="268"/>
      <c r="AY51" s="227"/>
      <c r="AZ51" s="236"/>
      <c r="BA51" s="233"/>
      <c r="BB51" s="230"/>
      <c r="BC51" s="296"/>
      <c r="BD51" s="298"/>
      <c r="BE51" s="298"/>
      <c r="BF51" s="298"/>
      <c r="BG51" s="301"/>
      <c r="BH51" s="475"/>
      <c r="BI51" s="523"/>
      <c r="BJ51" s="524"/>
      <c r="BK51" s="525"/>
      <c r="BL51" s="308"/>
      <c r="BM51" s="308"/>
      <c r="BN51" s="593"/>
      <c r="BO51" s="314"/>
      <c r="BP51" s="314"/>
      <c r="BQ51" s="281"/>
      <c r="BR51" s="617"/>
      <c r="BS51" s="617"/>
      <c r="BT51" s="648"/>
      <c r="BU51" s="314"/>
      <c r="BV51" s="314"/>
      <c r="BW51" s="281"/>
      <c r="BX51" s="314"/>
      <c r="BY51" s="314"/>
      <c r="BZ51" s="281"/>
      <c r="CA51" s="684"/>
      <c r="CB51" s="648"/>
      <c r="CC51" s="314"/>
      <c r="CD51" s="314"/>
      <c r="CE51" s="281"/>
      <c r="CF51" s="289"/>
      <c r="CG51" s="289"/>
      <c r="CH51" s="291"/>
      <c r="CI51" s="275"/>
      <c r="CJ51" s="278"/>
      <c r="CK51" s="281"/>
    </row>
    <row r="52" spans="4:89" ht="15" customHeight="1" x14ac:dyDescent="0.25">
      <c r="D52" s="461"/>
      <c r="E52" s="308"/>
      <c r="F52" s="473"/>
      <c r="G52" s="308"/>
      <c r="H52" s="308"/>
      <c r="I52" s="308"/>
      <c r="J52" s="308"/>
      <c r="K52" s="308"/>
      <c r="L52" s="417"/>
      <c r="M52" s="417"/>
      <c r="N52" s="308"/>
      <c r="O52" s="507"/>
      <c r="P52" s="427"/>
      <c r="Q52" s="424"/>
      <c r="R52" s="427"/>
      <c r="S52" s="435"/>
      <c r="T52" s="403"/>
      <c r="U52" s="403"/>
      <c r="V52" s="439"/>
      <c r="W52" s="433"/>
      <c r="X52" s="379"/>
      <c r="Y52" s="342"/>
      <c r="Z52" s="342"/>
      <c r="AA52" s="628"/>
      <c r="AB52" s="518"/>
      <c r="AC52" s="518"/>
      <c r="AD52" s="591"/>
      <c r="AE52" s="328"/>
      <c r="AF52" s="239"/>
      <c r="AG52" s="239"/>
      <c r="AH52" s="236"/>
      <c r="AI52" s="386"/>
      <c r="AJ52" s="383"/>
      <c r="AK52" s="342"/>
      <c r="AL52" s="342"/>
      <c r="AM52" s="342"/>
      <c r="AN52" s="354"/>
      <c r="AO52" s="344"/>
      <c r="AP52" s="347"/>
      <c r="AQ52" s="342"/>
      <c r="AR52" s="351"/>
      <c r="AS52" s="351"/>
      <c r="AT52" s="700"/>
      <c r="AU52" s="331"/>
      <c r="AV52" s="328"/>
      <c r="AW52" s="262"/>
      <c r="AX52" s="268"/>
      <c r="AY52" s="227"/>
      <c r="AZ52" s="236"/>
      <c r="BA52" s="233"/>
      <c r="BB52" s="230"/>
      <c r="BC52" s="296"/>
      <c r="BD52" s="298"/>
      <c r="BE52" s="298"/>
      <c r="BF52" s="298"/>
      <c r="BG52" s="301"/>
      <c r="BH52" s="475"/>
      <c r="BI52" s="523"/>
      <c r="BJ52" s="524"/>
      <c r="BK52" s="525"/>
      <c r="BL52" s="308"/>
      <c r="BM52" s="308"/>
      <c r="BN52" s="593"/>
      <c r="BO52" s="314"/>
      <c r="BP52" s="314"/>
      <c r="BQ52" s="281"/>
      <c r="BR52" s="617"/>
      <c r="BS52" s="617"/>
      <c r="BT52" s="648"/>
      <c r="BU52" s="314"/>
      <c r="BV52" s="314"/>
      <c r="BW52" s="281"/>
      <c r="BX52" s="314"/>
      <c r="BY52" s="314"/>
      <c r="BZ52" s="281"/>
      <c r="CA52" s="684"/>
      <c r="CB52" s="648"/>
      <c r="CC52" s="314"/>
      <c r="CD52" s="314"/>
      <c r="CE52" s="281"/>
      <c r="CF52" s="289"/>
      <c r="CG52" s="289"/>
      <c r="CH52" s="291"/>
      <c r="CI52" s="275"/>
      <c r="CJ52" s="278"/>
      <c r="CK52" s="281"/>
    </row>
    <row r="53" spans="4:89" ht="83.25" customHeight="1" x14ac:dyDescent="0.25">
      <c r="D53" s="461"/>
      <c r="E53" s="308"/>
      <c r="F53" s="473"/>
      <c r="G53" s="308"/>
      <c r="H53" s="308"/>
      <c r="I53" s="308"/>
      <c r="J53" s="308"/>
      <c r="K53" s="308"/>
      <c r="L53" s="417"/>
      <c r="M53" s="417"/>
      <c r="N53" s="308"/>
      <c r="O53" s="507"/>
      <c r="P53" s="427"/>
      <c r="Q53" s="425"/>
      <c r="R53" s="428"/>
      <c r="S53" s="435"/>
      <c r="T53" s="404"/>
      <c r="U53" s="404"/>
      <c r="V53" s="439"/>
      <c r="W53" s="433"/>
      <c r="X53" s="379"/>
      <c r="Y53" s="342"/>
      <c r="Z53" s="342"/>
      <c r="AA53" s="628"/>
      <c r="AB53" s="519"/>
      <c r="AC53" s="519"/>
      <c r="AD53" s="591"/>
      <c r="AE53" s="328"/>
      <c r="AF53" s="239"/>
      <c r="AG53" s="239"/>
      <c r="AH53" s="236"/>
      <c r="AI53" s="386"/>
      <c r="AJ53" s="383"/>
      <c r="AK53" s="342"/>
      <c r="AL53" s="342"/>
      <c r="AM53" s="342"/>
      <c r="AN53" s="354"/>
      <c r="AO53" s="344"/>
      <c r="AP53" s="347"/>
      <c r="AQ53" s="342"/>
      <c r="AR53" s="351"/>
      <c r="AS53" s="351"/>
      <c r="AT53" s="700"/>
      <c r="AU53" s="331"/>
      <c r="AV53" s="328"/>
      <c r="AW53" s="262"/>
      <c r="AX53" s="269"/>
      <c r="AY53" s="228"/>
      <c r="AZ53" s="236"/>
      <c r="BA53" s="233"/>
      <c r="BB53" s="230"/>
      <c r="BC53" s="299"/>
      <c r="BD53" s="298"/>
      <c r="BE53" s="298"/>
      <c r="BF53" s="298"/>
      <c r="BG53" s="301"/>
      <c r="BH53" s="475"/>
      <c r="BI53" s="523"/>
      <c r="BJ53" s="524"/>
      <c r="BK53" s="525"/>
      <c r="BL53" s="308"/>
      <c r="BM53" s="308"/>
      <c r="BN53" s="593"/>
      <c r="BO53" s="314"/>
      <c r="BP53" s="314"/>
      <c r="BQ53" s="281"/>
      <c r="BR53" s="617"/>
      <c r="BS53" s="617"/>
      <c r="BT53" s="648"/>
      <c r="BU53" s="314"/>
      <c r="BV53" s="314"/>
      <c r="BW53" s="281"/>
      <c r="BX53" s="314"/>
      <c r="BY53" s="314"/>
      <c r="BZ53" s="281"/>
      <c r="CA53" s="684"/>
      <c r="CB53" s="648"/>
      <c r="CC53" s="314"/>
      <c r="CD53" s="314"/>
      <c r="CE53" s="281"/>
      <c r="CF53" s="289"/>
      <c r="CG53" s="289"/>
      <c r="CH53" s="291"/>
      <c r="CI53" s="275"/>
      <c r="CJ53" s="278"/>
      <c r="CK53" s="281"/>
    </row>
    <row r="54" spans="4:89" ht="134.25" customHeight="1" x14ac:dyDescent="0.25">
      <c r="D54" s="461"/>
      <c r="E54" s="308"/>
      <c r="F54" s="473"/>
      <c r="G54" s="308"/>
      <c r="H54" s="308"/>
      <c r="I54" s="308"/>
      <c r="J54" s="308"/>
      <c r="K54" s="308"/>
      <c r="L54" s="417"/>
      <c r="M54" s="417"/>
      <c r="N54" s="308"/>
      <c r="O54" s="507"/>
      <c r="P54" s="427"/>
      <c r="Q54" s="17" t="s">
        <v>59</v>
      </c>
      <c r="R54" s="18">
        <v>800</v>
      </c>
      <c r="S54" s="435"/>
      <c r="T54" s="128">
        <v>348</v>
      </c>
      <c r="U54" s="128">
        <v>348</v>
      </c>
      <c r="V54" s="439"/>
      <c r="W54" s="433"/>
      <c r="X54" s="196">
        <f>T54/R54</f>
        <v>0.435</v>
      </c>
      <c r="Y54" s="342"/>
      <c r="Z54" s="342"/>
      <c r="AA54" s="628"/>
      <c r="AB54" s="114">
        <v>1240</v>
      </c>
      <c r="AC54" s="114">
        <v>892</v>
      </c>
      <c r="AD54" s="591"/>
      <c r="AE54" s="328"/>
      <c r="AF54" s="115">
        <v>1</v>
      </c>
      <c r="AG54" s="239"/>
      <c r="AH54" s="236"/>
      <c r="AI54" s="386"/>
      <c r="AJ54" s="123">
        <v>689</v>
      </c>
      <c r="AK54" s="195">
        <f>AJ54/R54</f>
        <v>0.86124999999999996</v>
      </c>
      <c r="AL54" s="342"/>
      <c r="AM54" s="342"/>
      <c r="AN54" s="354"/>
      <c r="AO54" s="172">
        <f>199+216+199</f>
        <v>614</v>
      </c>
      <c r="AP54" s="173">
        <f>AO54/R54</f>
        <v>0.76749999999999996</v>
      </c>
      <c r="AQ54" s="342"/>
      <c r="AR54" s="351"/>
      <c r="AS54" s="351"/>
      <c r="AT54" s="700"/>
      <c r="AU54" s="331"/>
      <c r="AV54" s="328"/>
      <c r="AW54" s="262"/>
      <c r="AX54" s="207">
        <f>AO54+AJ54+AB54</f>
        <v>2543</v>
      </c>
      <c r="AY54" s="134">
        <v>1</v>
      </c>
      <c r="AZ54" s="236"/>
      <c r="BA54" s="233"/>
      <c r="BB54" s="230"/>
      <c r="BC54" s="41" t="s">
        <v>228</v>
      </c>
      <c r="BD54" s="41" t="s">
        <v>250</v>
      </c>
      <c r="BE54" s="41" t="s">
        <v>275</v>
      </c>
      <c r="BF54" s="96" t="s">
        <v>307</v>
      </c>
      <c r="BG54" s="301"/>
      <c r="BH54" s="16" t="s">
        <v>60</v>
      </c>
      <c r="BI54" s="523"/>
      <c r="BJ54" s="524"/>
      <c r="BK54" s="525"/>
      <c r="BL54" s="308"/>
      <c r="BM54" s="308"/>
      <c r="BN54" s="593"/>
      <c r="BO54" s="314"/>
      <c r="BP54" s="314"/>
      <c r="BQ54" s="281"/>
      <c r="BR54" s="617"/>
      <c r="BS54" s="617"/>
      <c r="BT54" s="648"/>
      <c r="BU54" s="314"/>
      <c r="BV54" s="314"/>
      <c r="BW54" s="281"/>
      <c r="BX54" s="314"/>
      <c r="BY54" s="314"/>
      <c r="BZ54" s="281"/>
      <c r="CA54" s="684"/>
      <c r="CB54" s="648"/>
      <c r="CC54" s="314"/>
      <c r="CD54" s="314"/>
      <c r="CE54" s="281"/>
      <c r="CF54" s="289"/>
      <c r="CG54" s="289"/>
      <c r="CH54" s="291"/>
      <c r="CI54" s="275"/>
      <c r="CJ54" s="278"/>
      <c r="CK54" s="281"/>
    </row>
    <row r="55" spans="4:89" ht="238.5" customHeight="1" x14ac:dyDescent="0.25">
      <c r="D55" s="461"/>
      <c r="E55" s="308"/>
      <c r="F55" s="473"/>
      <c r="G55" s="304"/>
      <c r="H55" s="304"/>
      <c r="I55" s="304"/>
      <c r="J55" s="304"/>
      <c r="K55" s="304"/>
      <c r="L55" s="418"/>
      <c r="M55" s="418"/>
      <c r="N55" s="304"/>
      <c r="O55" s="508"/>
      <c r="P55" s="428"/>
      <c r="Q55" s="19" t="s">
        <v>61</v>
      </c>
      <c r="R55" s="20">
        <v>8400</v>
      </c>
      <c r="S55" s="406"/>
      <c r="T55" s="128">
        <v>0</v>
      </c>
      <c r="U55" s="128">
        <v>0</v>
      </c>
      <c r="V55" s="439"/>
      <c r="W55" s="433"/>
      <c r="X55" s="195">
        <f>T55/R55</f>
        <v>0</v>
      </c>
      <c r="Y55" s="342"/>
      <c r="Z55" s="342"/>
      <c r="AA55" s="629"/>
      <c r="AB55" s="114">
        <v>4000</v>
      </c>
      <c r="AC55" s="114">
        <v>4000</v>
      </c>
      <c r="AD55" s="591"/>
      <c r="AE55" s="328"/>
      <c r="AF55" s="115">
        <f>AB55/R55</f>
        <v>0.47619047619047616</v>
      </c>
      <c r="AG55" s="239"/>
      <c r="AH55" s="236"/>
      <c r="AI55" s="387"/>
      <c r="AJ55" s="159">
        <v>860</v>
      </c>
      <c r="AK55" s="194">
        <f>AJ55/R55</f>
        <v>0.10238095238095238</v>
      </c>
      <c r="AL55" s="343"/>
      <c r="AM55" s="342"/>
      <c r="AN55" s="355"/>
      <c r="AO55" s="174">
        <v>13460</v>
      </c>
      <c r="AP55" s="171">
        <v>1</v>
      </c>
      <c r="AQ55" s="343"/>
      <c r="AR55" s="351"/>
      <c r="AS55" s="351"/>
      <c r="AT55" s="701"/>
      <c r="AU55" s="331"/>
      <c r="AV55" s="328"/>
      <c r="AW55" s="262"/>
      <c r="AX55" s="208">
        <f>AO55+AJ55+AB55</f>
        <v>18320</v>
      </c>
      <c r="AY55" s="134">
        <v>1</v>
      </c>
      <c r="AZ55" s="237"/>
      <c r="BA55" s="233"/>
      <c r="BB55" s="230"/>
      <c r="BC55" s="83" t="s">
        <v>204</v>
      </c>
      <c r="BD55" s="55" t="s">
        <v>247</v>
      </c>
      <c r="BE55" s="87" t="s">
        <v>276</v>
      </c>
      <c r="BF55" s="90" t="s">
        <v>347</v>
      </c>
      <c r="BG55" s="301"/>
      <c r="BH55" s="21" t="s">
        <v>62</v>
      </c>
      <c r="BI55" s="526"/>
      <c r="BJ55" s="527"/>
      <c r="BK55" s="528"/>
      <c r="BL55" s="304"/>
      <c r="BM55" s="304"/>
      <c r="BN55" s="594"/>
      <c r="BO55" s="315"/>
      <c r="BP55" s="315"/>
      <c r="BQ55" s="282"/>
      <c r="BR55" s="617"/>
      <c r="BS55" s="617"/>
      <c r="BT55" s="648"/>
      <c r="BU55" s="315"/>
      <c r="BV55" s="315"/>
      <c r="BW55" s="282"/>
      <c r="BX55" s="315"/>
      <c r="BY55" s="315"/>
      <c r="BZ55" s="282"/>
      <c r="CA55" s="684"/>
      <c r="CB55" s="648"/>
      <c r="CC55" s="315"/>
      <c r="CD55" s="315"/>
      <c r="CE55" s="282"/>
      <c r="CF55" s="290"/>
      <c r="CG55" s="290"/>
      <c r="CH55" s="287"/>
      <c r="CI55" s="275"/>
      <c r="CJ55" s="278"/>
      <c r="CK55" s="281"/>
    </row>
    <row r="56" spans="4:89" ht="15" customHeight="1" x14ac:dyDescent="0.25">
      <c r="D56" s="461"/>
      <c r="E56" s="308"/>
      <c r="F56" s="473"/>
      <c r="G56" s="303" t="s">
        <v>63</v>
      </c>
      <c r="H56" s="303" t="s">
        <v>64</v>
      </c>
      <c r="I56" s="303" t="s">
        <v>65</v>
      </c>
      <c r="J56" s="420">
        <v>646969</v>
      </c>
      <c r="K56" s="303" t="s">
        <v>65</v>
      </c>
      <c r="L56" s="509">
        <v>404356</v>
      </c>
      <c r="M56" s="509">
        <f>J56-404356</f>
        <v>242613</v>
      </c>
      <c r="N56" s="303" t="s">
        <v>66</v>
      </c>
      <c r="O56" s="509">
        <v>89374</v>
      </c>
      <c r="P56" s="426">
        <v>60653</v>
      </c>
      <c r="Q56" s="419" t="s">
        <v>67</v>
      </c>
      <c r="R56" s="426">
        <v>1000</v>
      </c>
      <c r="S56" s="440">
        <f>T61+T74</f>
        <v>5621</v>
      </c>
      <c r="T56" s="402">
        <v>0</v>
      </c>
      <c r="U56" s="402">
        <v>0</v>
      </c>
      <c r="V56" s="432">
        <f>S56/P56</f>
        <v>9.2674723426706018E-2</v>
      </c>
      <c r="W56" s="433"/>
      <c r="X56" s="341">
        <f>T56/R56</f>
        <v>0</v>
      </c>
      <c r="Y56" s="342"/>
      <c r="Z56" s="342"/>
      <c r="AA56" s="534">
        <f>AB61+AB74</f>
        <v>19565</v>
      </c>
      <c r="AB56" s="517">
        <v>0</v>
      </c>
      <c r="AC56" s="517">
        <v>0</v>
      </c>
      <c r="AD56" s="327">
        <f>AA56/P56</f>
        <v>0.32257266746904523</v>
      </c>
      <c r="AE56" s="328"/>
      <c r="AF56" s="239">
        <f>AB56/R56</f>
        <v>0</v>
      </c>
      <c r="AG56" s="239"/>
      <c r="AH56" s="236"/>
      <c r="AI56" s="676">
        <f>AJ61+AJ70+AJ74</f>
        <v>18402</v>
      </c>
      <c r="AJ56" s="512">
        <v>0</v>
      </c>
      <c r="AK56" s="529">
        <f>AJ56/R56</f>
        <v>0</v>
      </c>
      <c r="AL56" s="341">
        <f>(AK56+AK61+AK66+AK70+AK74)/5</f>
        <v>0.28865626025230195</v>
      </c>
      <c r="AM56" s="342"/>
      <c r="AN56" s="368">
        <f>(AO56+AO61+AO66+AO70+AO74)</f>
        <v>9953</v>
      </c>
      <c r="AO56" s="369">
        <v>0</v>
      </c>
      <c r="AP56" s="376">
        <f>0/R56</f>
        <v>0</v>
      </c>
      <c r="AQ56" s="341">
        <f>(AP56+AP61+AP66++AP70+AP74)/5</f>
        <v>0.12245302591976634</v>
      </c>
      <c r="AR56" s="351"/>
      <c r="AS56" s="351"/>
      <c r="AT56" s="327">
        <f>AW56/60653</f>
        <v>0.79006809226254271</v>
      </c>
      <c r="AU56" s="331"/>
      <c r="AV56" s="328"/>
      <c r="AW56" s="265">
        <f>AX56+AX60+AX66+AX70+AX74</f>
        <v>47920</v>
      </c>
      <c r="AX56" s="266">
        <f>AO56+AJ56+AB56</f>
        <v>0</v>
      </c>
      <c r="AY56" s="238">
        <f>AX56/R56</f>
        <v>0</v>
      </c>
      <c r="AZ56" s="226">
        <f>(AY56+AY60+AY66+AY70+AY749)/5</f>
        <v>0.36756</v>
      </c>
      <c r="BA56" s="233"/>
      <c r="BB56" s="230"/>
      <c r="BC56" s="295" t="s">
        <v>208</v>
      </c>
      <c r="BD56" s="298" t="s">
        <v>249</v>
      </c>
      <c r="BE56" s="298" t="s">
        <v>277</v>
      </c>
      <c r="BF56" s="298" t="s">
        <v>331</v>
      </c>
      <c r="BG56" s="301"/>
      <c r="BH56" s="475" t="s">
        <v>68</v>
      </c>
      <c r="BI56" s="604" t="s">
        <v>69</v>
      </c>
      <c r="BJ56" s="605"/>
      <c r="BK56" s="606"/>
      <c r="BL56" s="303" t="s">
        <v>70</v>
      </c>
      <c r="BM56" s="303" t="s">
        <v>292</v>
      </c>
      <c r="BN56" s="643">
        <v>511393921</v>
      </c>
      <c r="BO56" s="313">
        <v>511393921</v>
      </c>
      <c r="BP56" s="313">
        <v>298914240</v>
      </c>
      <c r="BQ56" s="280">
        <f>BP56/BO56</f>
        <v>0.5845087861339674</v>
      </c>
      <c r="BR56" s="617"/>
      <c r="BS56" s="617"/>
      <c r="BT56" s="648"/>
      <c r="BU56" s="313">
        <v>511393921</v>
      </c>
      <c r="BV56" s="313">
        <v>450030995</v>
      </c>
      <c r="BW56" s="280">
        <f>BV56/BU56</f>
        <v>0.88000849544709392</v>
      </c>
      <c r="BX56" s="313"/>
      <c r="BY56" s="313"/>
      <c r="BZ56" s="280"/>
      <c r="CA56" s="684"/>
      <c r="CB56" s="648"/>
      <c r="CC56" s="313">
        <v>3087033921</v>
      </c>
      <c r="CD56" s="313">
        <v>977052767</v>
      </c>
      <c r="CE56" s="280">
        <f>CD56/CC56</f>
        <v>0.3165021156241451</v>
      </c>
      <c r="CF56" s="288">
        <v>1215190336</v>
      </c>
      <c r="CG56" s="288">
        <v>1166945095</v>
      </c>
      <c r="CH56" s="286">
        <f>CG56/CF56</f>
        <v>0.96029820220690099</v>
      </c>
      <c r="CI56" s="275"/>
      <c r="CJ56" s="278"/>
      <c r="CK56" s="281"/>
    </row>
    <row r="57" spans="4:89" ht="15" customHeight="1" x14ac:dyDescent="0.25">
      <c r="D57" s="461"/>
      <c r="E57" s="308"/>
      <c r="F57" s="473"/>
      <c r="G57" s="308"/>
      <c r="H57" s="308"/>
      <c r="I57" s="308"/>
      <c r="J57" s="421"/>
      <c r="K57" s="308"/>
      <c r="L57" s="397"/>
      <c r="M57" s="397"/>
      <c r="N57" s="308"/>
      <c r="O57" s="510"/>
      <c r="P57" s="427"/>
      <c r="Q57" s="507"/>
      <c r="R57" s="427"/>
      <c r="S57" s="403"/>
      <c r="T57" s="430"/>
      <c r="U57" s="430"/>
      <c r="V57" s="433"/>
      <c r="W57" s="433"/>
      <c r="X57" s="342"/>
      <c r="Y57" s="342"/>
      <c r="Z57" s="342"/>
      <c r="AA57" s="518"/>
      <c r="AB57" s="535"/>
      <c r="AC57" s="535"/>
      <c r="AD57" s="328"/>
      <c r="AE57" s="328"/>
      <c r="AF57" s="239"/>
      <c r="AG57" s="239"/>
      <c r="AH57" s="236"/>
      <c r="AI57" s="677"/>
      <c r="AJ57" s="513"/>
      <c r="AK57" s="530"/>
      <c r="AL57" s="342"/>
      <c r="AM57" s="342"/>
      <c r="AN57" s="347"/>
      <c r="AO57" s="370"/>
      <c r="AP57" s="377"/>
      <c r="AQ57" s="342"/>
      <c r="AR57" s="351"/>
      <c r="AS57" s="351"/>
      <c r="AT57" s="328"/>
      <c r="AU57" s="331"/>
      <c r="AV57" s="328"/>
      <c r="AW57" s="261"/>
      <c r="AX57" s="266"/>
      <c r="AY57" s="238"/>
      <c r="AZ57" s="227"/>
      <c r="BA57" s="233"/>
      <c r="BB57" s="230"/>
      <c r="BC57" s="296"/>
      <c r="BD57" s="298"/>
      <c r="BE57" s="298"/>
      <c r="BF57" s="298"/>
      <c r="BG57" s="301"/>
      <c r="BH57" s="475"/>
      <c r="BI57" s="607"/>
      <c r="BJ57" s="608"/>
      <c r="BK57" s="609"/>
      <c r="BL57" s="308"/>
      <c r="BM57" s="308"/>
      <c r="BN57" s="644"/>
      <c r="BO57" s="314"/>
      <c r="BP57" s="314"/>
      <c r="BQ57" s="281"/>
      <c r="BR57" s="617"/>
      <c r="BS57" s="617"/>
      <c r="BT57" s="648"/>
      <c r="BU57" s="314"/>
      <c r="BV57" s="314"/>
      <c r="BW57" s="281"/>
      <c r="BX57" s="314"/>
      <c r="BY57" s="314"/>
      <c r="BZ57" s="281"/>
      <c r="CA57" s="684"/>
      <c r="CB57" s="648"/>
      <c r="CC57" s="314"/>
      <c r="CD57" s="314"/>
      <c r="CE57" s="281"/>
      <c r="CF57" s="289"/>
      <c r="CG57" s="289"/>
      <c r="CH57" s="291"/>
      <c r="CI57" s="275"/>
      <c r="CJ57" s="278"/>
      <c r="CK57" s="281"/>
    </row>
    <row r="58" spans="4:89" ht="74.25" customHeight="1" x14ac:dyDescent="0.25">
      <c r="D58" s="461"/>
      <c r="E58" s="308"/>
      <c r="F58" s="473"/>
      <c r="G58" s="308"/>
      <c r="H58" s="308"/>
      <c r="I58" s="308"/>
      <c r="J58" s="421"/>
      <c r="K58" s="308"/>
      <c r="L58" s="397"/>
      <c r="M58" s="397"/>
      <c r="N58" s="308"/>
      <c r="O58" s="510"/>
      <c r="P58" s="427"/>
      <c r="Q58" s="507"/>
      <c r="R58" s="427"/>
      <c r="S58" s="403"/>
      <c r="T58" s="430"/>
      <c r="U58" s="430"/>
      <c r="V58" s="433"/>
      <c r="W58" s="433"/>
      <c r="X58" s="342"/>
      <c r="Y58" s="342"/>
      <c r="Z58" s="342"/>
      <c r="AA58" s="518"/>
      <c r="AB58" s="535"/>
      <c r="AC58" s="535"/>
      <c r="AD58" s="328"/>
      <c r="AE58" s="328"/>
      <c r="AF58" s="239"/>
      <c r="AG58" s="239"/>
      <c r="AH58" s="236"/>
      <c r="AI58" s="677"/>
      <c r="AJ58" s="513"/>
      <c r="AK58" s="530"/>
      <c r="AL58" s="342"/>
      <c r="AM58" s="342"/>
      <c r="AN58" s="347"/>
      <c r="AO58" s="370"/>
      <c r="AP58" s="377"/>
      <c r="AQ58" s="342"/>
      <c r="AR58" s="351"/>
      <c r="AS58" s="351"/>
      <c r="AT58" s="328"/>
      <c r="AU58" s="331"/>
      <c r="AV58" s="328"/>
      <c r="AW58" s="261"/>
      <c r="AX58" s="266"/>
      <c r="AY58" s="238"/>
      <c r="AZ58" s="227"/>
      <c r="BA58" s="233"/>
      <c r="BB58" s="230"/>
      <c r="BC58" s="296"/>
      <c r="BD58" s="298"/>
      <c r="BE58" s="298"/>
      <c r="BF58" s="298"/>
      <c r="BG58" s="301"/>
      <c r="BH58" s="475"/>
      <c r="BI58" s="607"/>
      <c r="BJ58" s="608"/>
      <c r="BK58" s="609"/>
      <c r="BL58" s="308"/>
      <c r="BM58" s="308"/>
      <c r="BN58" s="644"/>
      <c r="BO58" s="314"/>
      <c r="BP58" s="314"/>
      <c r="BQ58" s="281"/>
      <c r="BR58" s="617"/>
      <c r="BS58" s="617"/>
      <c r="BT58" s="648"/>
      <c r="BU58" s="314"/>
      <c r="BV58" s="314"/>
      <c r="BW58" s="281"/>
      <c r="BX58" s="314"/>
      <c r="BY58" s="314"/>
      <c r="BZ58" s="281"/>
      <c r="CA58" s="684"/>
      <c r="CB58" s="648"/>
      <c r="CC58" s="314"/>
      <c r="CD58" s="314"/>
      <c r="CE58" s="281"/>
      <c r="CF58" s="289"/>
      <c r="CG58" s="289"/>
      <c r="CH58" s="291"/>
      <c r="CI58" s="275"/>
      <c r="CJ58" s="278"/>
      <c r="CK58" s="281"/>
    </row>
    <row r="59" spans="4:89" ht="15" customHeight="1" x14ac:dyDescent="0.25">
      <c r="D59" s="461"/>
      <c r="E59" s="308"/>
      <c r="F59" s="473"/>
      <c r="G59" s="308"/>
      <c r="H59" s="308"/>
      <c r="I59" s="308"/>
      <c r="J59" s="421"/>
      <c r="K59" s="308"/>
      <c r="L59" s="397"/>
      <c r="M59" s="397"/>
      <c r="N59" s="308"/>
      <c r="O59" s="510"/>
      <c r="P59" s="427"/>
      <c r="Q59" s="507"/>
      <c r="R59" s="427"/>
      <c r="S59" s="403"/>
      <c r="T59" s="430"/>
      <c r="U59" s="430"/>
      <c r="V59" s="433"/>
      <c r="W59" s="433"/>
      <c r="X59" s="342"/>
      <c r="Y59" s="342"/>
      <c r="Z59" s="342"/>
      <c r="AA59" s="518"/>
      <c r="AB59" s="535"/>
      <c r="AC59" s="535"/>
      <c r="AD59" s="328"/>
      <c r="AE59" s="328"/>
      <c r="AF59" s="239"/>
      <c r="AG59" s="239"/>
      <c r="AH59" s="236"/>
      <c r="AI59" s="677"/>
      <c r="AJ59" s="513"/>
      <c r="AK59" s="530"/>
      <c r="AL59" s="342"/>
      <c r="AM59" s="342"/>
      <c r="AN59" s="347"/>
      <c r="AO59" s="370"/>
      <c r="AP59" s="377"/>
      <c r="AQ59" s="342"/>
      <c r="AR59" s="351"/>
      <c r="AS59" s="351"/>
      <c r="AT59" s="328"/>
      <c r="AU59" s="331"/>
      <c r="AV59" s="328"/>
      <c r="AW59" s="261"/>
      <c r="AX59" s="266"/>
      <c r="AY59" s="238"/>
      <c r="AZ59" s="227"/>
      <c r="BA59" s="233"/>
      <c r="BB59" s="230"/>
      <c r="BC59" s="296"/>
      <c r="BD59" s="298"/>
      <c r="BE59" s="298"/>
      <c r="BF59" s="298"/>
      <c r="BG59" s="301"/>
      <c r="BH59" s="475"/>
      <c r="BI59" s="607"/>
      <c r="BJ59" s="608"/>
      <c r="BK59" s="609"/>
      <c r="BL59" s="308"/>
      <c r="BM59" s="308"/>
      <c r="BN59" s="644"/>
      <c r="BO59" s="314"/>
      <c r="BP59" s="314"/>
      <c r="BQ59" s="281"/>
      <c r="BR59" s="617"/>
      <c r="BS59" s="617"/>
      <c r="BT59" s="648"/>
      <c r="BU59" s="314"/>
      <c r="BV59" s="314"/>
      <c r="BW59" s="281"/>
      <c r="BX59" s="314"/>
      <c r="BY59" s="314"/>
      <c r="BZ59" s="281"/>
      <c r="CA59" s="684"/>
      <c r="CB59" s="648"/>
      <c r="CC59" s="314"/>
      <c r="CD59" s="314"/>
      <c r="CE59" s="281"/>
      <c r="CF59" s="289"/>
      <c r="CG59" s="289"/>
      <c r="CH59" s="291"/>
      <c r="CI59" s="275"/>
      <c r="CJ59" s="278"/>
      <c r="CK59" s="281"/>
    </row>
    <row r="60" spans="4:89" ht="15" customHeight="1" x14ac:dyDescent="0.25">
      <c r="D60" s="461"/>
      <c r="E60" s="308"/>
      <c r="F60" s="473"/>
      <c r="G60" s="308"/>
      <c r="H60" s="308"/>
      <c r="I60" s="308"/>
      <c r="J60" s="421"/>
      <c r="K60" s="308"/>
      <c r="L60" s="397"/>
      <c r="M60" s="397"/>
      <c r="N60" s="308"/>
      <c r="O60" s="510"/>
      <c r="P60" s="427"/>
      <c r="Q60" s="508"/>
      <c r="R60" s="428"/>
      <c r="S60" s="403"/>
      <c r="T60" s="431"/>
      <c r="U60" s="431"/>
      <c r="V60" s="433"/>
      <c r="W60" s="433"/>
      <c r="X60" s="343"/>
      <c r="Y60" s="342"/>
      <c r="Z60" s="342"/>
      <c r="AA60" s="518"/>
      <c r="AB60" s="536"/>
      <c r="AC60" s="536"/>
      <c r="AD60" s="328"/>
      <c r="AE60" s="328"/>
      <c r="AF60" s="239"/>
      <c r="AG60" s="239"/>
      <c r="AH60" s="236"/>
      <c r="AI60" s="677"/>
      <c r="AJ60" s="514"/>
      <c r="AK60" s="531"/>
      <c r="AL60" s="342"/>
      <c r="AM60" s="342"/>
      <c r="AN60" s="347"/>
      <c r="AO60" s="371"/>
      <c r="AP60" s="378"/>
      <c r="AQ60" s="342"/>
      <c r="AR60" s="351"/>
      <c r="AS60" s="351"/>
      <c r="AT60" s="328"/>
      <c r="AU60" s="331"/>
      <c r="AV60" s="328"/>
      <c r="AW60" s="261"/>
      <c r="AX60" s="244">
        <f>AO61+AJ61+AB61</f>
        <v>14945</v>
      </c>
      <c r="AY60" s="235">
        <f>AX60/R61</f>
        <v>0.5978</v>
      </c>
      <c r="AZ60" s="227"/>
      <c r="BA60" s="233"/>
      <c r="BB60" s="230"/>
      <c r="BC60" s="299"/>
      <c r="BD60" s="298"/>
      <c r="BE60" s="298"/>
      <c r="BF60" s="298"/>
      <c r="BG60" s="301"/>
      <c r="BH60" s="475"/>
      <c r="BI60" s="610"/>
      <c r="BJ60" s="611"/>
      <c r="BK60" s="612"/>
      <c r="BL60" s="308"/>
      <c r="BM60" s="308"/>
      <c r="BN60" s="644"/>
      <c r="BO60" s="314"/>
      <c r="BP60" s="314"/>
      <c r="BQ60" s="281"/>
      <c r="BR60" s="617"/>
      <c r="BS60" s="617"/>
      <c r="BT60" s="648"/>
      <c r="BU60" s="314"/>
      <c r="BV60" s="314"/>
      <c r="BW60" s="281"/>
      <c r="BX60" s="314"/>
      <c r="BY60" s="314"/>
      <c r="BZ60" s="281"/>
      <c r="CA60" s="684"/>
      <c r="CB60" s="648"/>
      <c r="CC60" s="314"/>
      <c r="CD60" s="314"/>
      <c r="CE60" s="281"/>
      <c r="CF60" s="289"/>
      <c r="CG60" s="289"/>
      <c r="CH60" s="291"/>
      <c r="CI60" s="275"/>
      <c r="CJ60" s="278"/>
      <c r="CK60" s="281"/>
    </row>
    <row r="61" spans="4:89" ht="15" customHeight="1" x14ac:dyDescent="0.25">
      <c r="D61" s="461"/>
      <c r="E61" s="308"/>
      <c r="F61" s="473"/>
      <c r="G61" s="308"/>
      <c r="H61" s="308"/>
      <c r="I61" s="308"/>
      <c r="J61" s="421"/>
      <c r="K61" s="308"/>
      <c r="L61" s="397"/>
      <c r="M61" s="397"/>
      <c r="N61" s="308"/>
      <c r="O61" s="510"/>
      <c r="P61" s="427"/>
      <c r="Q61" s="419" t="s">
        <v>71</v>
      </c>
      <c r="R61" s="426">
        <v>25000</v>
      </c>
      <c r="S61" s="403"/>
      <c r="T61" s="538">
        <f>437+917+852</f>
        <v>2206</v>
      </c>
      <c r="U61" s="405">
        <f>437+917+852</f>
        <v>2206</v>
      </c>
      <c r="V61" s="433"/>
      <c r="W61" s="433"/>
      <c r="X61" s="379">
        <f>T61/R61</f>
        <v>8.8239999999999999E-2</v>
      </c>
      <c r="Y61" s="342"/>
      <c r="Z61" s="342"/>
      <c r="AA61" s="518"/>
      <c r="AB61" s="632">
        <f>1404+437+917+852+1101+916</f>
        <v>5627</v>
      </c>
      <c r="AC61" s="627">
        <v>3421</v>
      </c>
      <c r="AD61" s="328"/>
      <c r="AE61" s="328"/>
      <c r="AF61" s="239">
        <f>AB61/R61</f>
        <v>0.22508</v>
      </c>
      <c r="AG61" s="239"/>
      <c r="AH61" s="236"/>
      <c r="AI61" s="677"/>
      <c r="AJ61" s="515">
        <f>2093+1466+1757</f>
        <v>5316</v>
      </c>
      <c r="AK61" s="341">
        <f>AJ61/R61</f>
        <v>0.21264</v>
      </c>
      <c r="AL61" s="342"/>
      <c r="AM61" s="342"/>
      <c r="AN61" s="347"/>
      <c r="AO61" s="336">
        <f>1593+301+2108</f>
        <v>4002</v>
      </c>
      <c r="AP61" s="345">
        <f>AO61/R61</f>
        <v>0.16008</v>
      </c>
      <c r="AQ61" s="342"/>
      <c r="AR61" s="351"/>
      <c r="AS61" s="351"/>
      <c r="AT61" s="328"/>
      <c r="AU61" s="331"/>
      <c r="AV61" s="328"/>
      <c r="AW61" s="261"/>
      <c r="AX61" s="263"/>
      <c r="AY61" s="236"/>
      <c r="AZ61" s="227"/>
      <c r="BA61" s="233"/>
      <c r="BB61" s="230"/>
      <c r="BC61" s="295" t="s">
        <v>224</v>
      </c>
      <c r="BD61" s="298" t="s">
        <v>244</v>
      </c>
      <c r="BE61" s="298" t="s">
        <v>278</v>
      </c>
      <c r="BF61" s="298" t="s">
        <v>332</v>
      </c>
      <c r="BG61" s="301"/>
      <c r="BH61" s="475" t="s">
        <v>72</v>
      </c>
      <c r="BI61" s="520" t="s">
        <v>31</v>
      </c>
      <c r="BJ61" s="521"/>
      <c r="BK61" s="522"/>
      <c r="BL61" s="308"/>
      <c r="BM61" s="308"/>
      <c r="BN61" s="644"/>
      <c r="BO61" s="314"/>
      <c r="BP61" s="314"/>
      <c r="BQ61" s="281"/>
      <c r="BR61" s="617"/>
      <c r="BS61" s="617"/>
      <c r="BT61" s="648"/>
      <c r="BU61" s="314"/>
      <c r="BV61" s="314"/>
      <c r="BW61" s="281"/>
      <c r="BX61" s="314"/>
      <c r="BY61" s="314"/>
      <c r="BZ61" s="281"/>
      <c r="CA61" s="684"/>
      <c r="CB61" s="648"/>
      <c r="CC61" s="314"/>
      <c r="CD61" s="314"/>
      <c r="CE61" s="281"/>
      <c r="CF61" s="289"/>
      <c r="CG61" s="289"/>
      <c r="CH61" s="291"/>
      <c r="CI61" s="275"/>
      <c r="CJ61" s="278"/>
      <c r="CK61" s="281"/>
    </row>
    <row r="62" spans="4:89" ht="15" customHeight="1" x14ac:dyDescent="0.25">
      <c r="D62" s="461"/>
      <c r="E62" s="308"/>
      <c r="F62" s="473"/>
      <c r="G62" s="308"/>
      <c r="H62" s="308"/>
      <c r="I62" s="308"/>
      <c r="J62" s="421"/>
      <c r="K62" s="308"/>
      <c r="L62" s="397"/>
      <c r="M62" s="397"/>
      <c r="N62" s="308"/>
      <c r="O62" s="510"/>
      <c r="P62" s="427"/>
      <c r="Q62" s="507"/>
      <c r="R62" s="427"/>
      <c r="S62" s="403"/>
      <c r="T62" s="539"/>
      <c r="U62" s="441"/>
      <c r="V62" s="433"/>
      <c r="W62" s="433"/>
      <c r="X62" s="379"/>
      <c r="Y62" s="342"/>
      <c r="Z62" s="342"/>
      <c r="AA62" s="518"/>
      <c r="AB62" s="633"/>
      <c r="AC62" s="671"/>
      <c r="AD62" s="328"/>
      <c r="AE62" s="328"/>
      <c r="AF62" s="239"/>
      <c r="AG62" s="239"/>
      <c r="AH62" s="236"/>
      <c r="AI62" s="677"/>
      <c r="AJ62" s="516"/>
      <c r="AK62" s="342"/>
      <c r="AL62" s="342"/>
      <c r="AM62" s="342"/>
      <c r="AN62" s="347"/>
      <c r="AO62" s="337"/>
      <c r="AP62" s="347"/>
      <c r="AQ62" s="342"/>
      <c r="AR62" s="351"/>
      <c r="AS62" s="351"/>
      <c r="AT62" s="328"/>
      <c r="AU62" s="331"/>
      <c r="AV62" s="328"/>
      <c r="AW62" s="261"/>
      <c r="AX62" s="263"/>
      <c r="AY62" s="236"/>
      <c r="AZ62" s="227"/>
      <c r="BA62" s="233"/>
      <c r="BB62" s="230"/>
      <c r="BC62" s="296"/>
      <c r="BD62" s="298"/>
      <c r="BE62" s="298"/>
      <c r="BF62" s="298"/>
      <c r="BG62" s="301"/>
      <c r="BH62" s="475"/>
      <c r="BI62" s="523"/>
      <c r="BJ62" s="524"/>
      <c r="BK62" s="525"/>
      <c r="BL62" s="308"/>
      <c r="BM62" s="308"/>
      <c r="BN62" s="644"/>
      <c r="BO62" s="314"/>
      <c r="BP62" s="314"/>
      <c r="BQ62" s="281"/>
      <c r="BR62" s="617"/>
      <c r="BS62" s="617"/>
      <c r="BT62" s="648"/>
      <c r="BU62" s="314"/>
      <c r="BV62" s="314"/>
      <c r="BW62" s="281"/>
      <c r="BX62" s="314"/>
      <c r="BY62" s="314"/>
      <c r="BZ62" s="281"/>
      <c r="CA62" s="684"/>
      <c r="CB62" s="648"/>
      <c r="CC62" s="314"/>
      <c r="CD62" s="314"/>
      <c r="CE62" s="281"/>
      <c r="CF62" s="289"/>
      <c r="CG62" s="289"/>
      <c r="CH62" s="291"/>
      <c r="CI62" s="275"/>
      <c r="CJ62" s="278"/>
      <c r="CK62" s="281"/>
    </row>
    <row r="63" spans="4:89" ht="66.75" customHeight="1" x14ac:dyDescent="0.25">
      <c r="D63" s="461"/>
      <c r="E63" s="308"/>
      <c r="F63" s="473"/>
      <c r="G63" s="308"/>
      <c r="H63" s="308"/>
      <c r="I63" s="308"/>
      <c r="J63" s="421"/>
      <c r="K63" s="308"/>
      <c r="L63" s="397"/>
      <c r="M63" s="397"/>
      <c r="N63" s="308"/>
      <c r="O63" s="510"/>
      <c r="P63" s="427"/>
      <c r="Q63" s="507"/>
      <c r="R63" s="427"/>
      <c r="S63" s="403"/>
      <c r="T63" s="539"/>
      <c r="U63" s="441"/>
      <c r="V63" s="433"/>
      <c r="W63" s="433"/>
      <c r="X63" s="379"/>
      <c r="Y63" s="342"/>
      <c r="Z63" s="342"/>
      <c r="AA63" s="518"/>
      <c r="AB63" s="633"/>
      <c r="AC63" s="671"/>
      <c r="AD63" s="328"/>
      <c r="AE63" s="328"/>
      <c r="AF63" s="239"/>
      <c r="AG63" s="239"/>
      <c r="AH63" s="236"/>
      <c r="AI63" s="677"/>
      <c r="AJ63" s="516"/>
      <c r="AK63" s="342"/>
      <c r="AL63" s="342"/>
      <c r="AM63" s="342"/>
      <c r="AN63" s="347"/>
      <c r="AO63" s="337"/>
      <c r="AP63" s="347"/>
      <c r="AQ63" s="342"/>
      <c r="AR63" s="351"/>
      <c r="AS63" s="351"/>
      <c r="AT63" s="328"/>
      <c r="AU63" s="331"/>
      <c r="AV63" s="328"/>
      <c r="AW63" s="261"/>
      <c r="AX63" s="263"/>
      <c r="AY63" s="236"/>
      <c r="AZ63" s="227"/>
      <c r="BA63" s="233"/>
      <c r="BB63" s="230"/>
      <c r="BC63" s="296"/>
      <c r="BD63" s="298"/>
      <c r="BE63" s="298"/>
      <c r="BF63" s="298"/>
      <c r="BG63" s="301"/>
      <c r="BH63" s="475"/>
      <c r="BI63" s="523"/>
      <c r="BJ63" s="524"/>
      <c r="BK63" s="525"/>
      <c r="BL63" s="308"/>
      <c r="BM63" s="308"/>
      <c r="BN63" s="644"/>
      <c r="BO63" s="314"/>
      <c r="BP63" s="314"/>
      <c r="BQ63" s="281"/>
      <c r="BR63" s="617"/>
      <c r="BS63" s="617"/>
      <c r="BT63" s="648"/>
      <c r="BU63" s="314"/>
      <c r="BV63" s="314"/>
      <c r="BW63" s="281"/>
      <c r="BX63" s="314"/>
      <c r="BY63" s="314"/>
      <c r="BZ63" s="281"/>
      <c r="CA63" s="684"/>
      <c r="CB63" s="648"/>
      <c r="CC63" s="314"/>
      <c r="CD63" s="314"/>
      <c r="CE63" s="281"/>
      <c r="CF63" s="289"/>
      <c r="CG63" s="289"/>
      <c r="CH63" s="291"/>
      <c r="CI63" s="275"/>
      <c r="CJ63" s="278"/>
      <c r="CK63" s="281"/>
    </row>
    <row r="64" spans="4:89" ht="15" customHeight="1" x14ac:dyDescent="0.25">
      <c r="D64" s="461"/>
      <c r="E64" s="308"/>
      <c r="F64" s="473"/>
      <c r="G64" s="308"/>
      <c r="H64" s="308"/>
      <c r="I64" s="308"/>
      <c r="J64" s="421"/>
      <c r="K64" s="308"/>
      <c r="L64" s="397"/>
      <c r="M64" s="397"/>
      <c r="N64" s="308"/>
      <c r="O64" s="510"/>
      <c r="P64" s="427"/>
      <c r="Q64" s="507"/>
      <c r="R64" s="427"/>
      <c r="S64" s="403"/>
      <c r="T64" s="540"/>
      <c r="U64" s="442"/>
      <c r="V64" s="433"/>
      <c r="W64" s="433"/>
      <c r="X64" s="379"/>
      <c r="Y64" s="342"/>
      <c r="Z64" s="342"/>
      <c r="AA64" s="518"/>
      <c r="AB64" s="634"/>
      <c r="AC64" s="672"/>
      <c r="AD64" s="328"/>
      <c r="AE64" s="328"/>
      <c r="AF64" s="239"/>
      <c r="AG64" s="239"/>
      <c r="AH64" s="236"/>
      <c r="AI64" s="677"/>
      <c r="AJ64" s="516"/>
      <c r="AK64" s="342"/>
      <c r="AL64" s="342"/>
      <c r="AM64" s="342"/>
      <c r="AN64" s="347"/>
      <c r="AO64" s="337"/>
      <c r="AP64" s="347"/>
      <c r="AQ64" s="342"/>
      <c r="AR64" s="351"/>
      <c r="AS64" s="351"/>
      <c r="AT64" s="328"/>
      <c r="AU64" s="331"/>
      <c r="AV64" s="328"/>
      <c r="AW64" s="261"/>
      <c r="AX64" s="263"/>
      <c r="AY64" s="236"/>
      <c r="AZ64" s="227"/>
      <c r="BA64" s="233"/>
      <c r="BB64" s="230"/>
      <c r="BC64" s="299"/>
      <c r="BD64" s="298"/>
      <c r="BE64" s="298"/>
      <c r="BF64" s="298"/>
      <c r="BG64" s="301"/>
      <c r="BH64" s="475"/>
      <c r="BI64" s="523"/>
      <c r="BJ64" s="524"/>
      <c r="BK64" s="525"/>
      <c r="BL64" s="308"/>
      <c r="BM64" s="308"/>
      <c r="BN64" s="644"/>
      <c r="BO64" s="314"/>
      <c r="BP64" s="314"/>
      <c r="BQ64" s="281"/>
      <c r="BR64" s="617"/>
      <c r="BS64" s="617"/>
      <c r="BT64" s="648"/>
      <c r="BU64" s="314"/>
      <c r="BV64" s="314"/>
      <c r="BW64" s="281"/>
      <c r="BX64" s="314"/>
      <c r="BY64" s="314"/>
      <c r="BZ64" s="281"/>
      <c r="CA64" s="684"/>
      <c r="CB64" s="648"/>
      <c r="CC64" s="314"/>
      <c r="CD64" s="314"/>
      <c r="CE64" s="281"/>
      <c r="CF64" s="289"/>
      <c r="CG64" s="289"/>
      <c r="CH64" s="291"/>
      <c r="CI64" s="275"/>
      <c r="CJ64" s="278"/>
      <c r="CK64" s="281"/>
    </row>
    <row r="65" spans="4:89" ht="15" customHeight="1" x14ac:dyDescent="0.25">
      <c r="D65" s="461"/>
      <c r="E65" s="308"/>
      <c r="F65" s="473"/>
      <c r="G65" s="308"/>
      <c r="H65" s="308"/>
      <c r="I65" s="308"/>
      <c r="J65" s="421"/>
      <c r="K65" s="308"/>
      <c r="L65" s="397"/>
      <c r="M65" s="397"/>
      <c r="N65" s="308"/>
      <c r="O65" s="510"/>
      <c r="P65" s="427"/>
      <c r="Q65" s="508"/>
      <c r="R65" s="428"/>
      <c r="S65" s="403"/>
      <c r="T65" s="402">
        <v>0</v>
      </c>
      <c r="U65" s="402">
        <v>0</v>
      </c>
      <c r="V65" s="433"/>
      <c r="W65" s="433"/>
      <c r="X65" s="379"/>
      <c r="Y65" s="342"/>
      <c r="Z65" s="342"/>
      <c r="AA65" s="518"/>
      <c r="AB65" s="517">
        <v>0</v>
      </c>
      <c r="AC65" s="517">
        <v>0</v>
      </c>
      <c r="AD65" s="328"/>
      <c r="AE65" s="328"/>
      <c r="AF65" s="239"/>
      <c r="AG65" s="239"/>
      <c r="AH65" s="236"/>
      <c r="AI65" s="677"/>
      <c r="AJ65" s="516"/>
      <c r="AK65" s="343"/>
      <c r="AL65" s="342"/>
      <c r="AM65" s="342"/>
      <c r="AN65" s="347"/>
      <c r="AO65" s="338"/>
      <c r="AP65" s="346"/>
      <c r="AQ65" s="342"/>
      <c r="AR65" s="351"/>
      <c r="AS65" s="351"/>
      <c r="AT65" s="328"/>
      <c r="AU65" s="331"/>
      <c r="AV65" s="328"/>
      <c r="AW65" s="261"/>
      <c r="AX65" s="264"/>
      <c r="AY65" s="237"/>
      <c r="AZ65" s="227"/>
      <c r="BA65" s="233"/>
      <c r="BB65" s="230"/>
      <c r="BC65" s="295" t="s">
        <v>190</v>
      </c>
      <c r="BD65" s="298" t="s">
        <v>248</v>
      </c>
      <c r="BE65" s="298" t="s">
        <v>248</v>
      </c>
      <c r="BF65" s="295" t="s">
        <v>348</v>
      </c>
      <c r="BG65" s="301"/>
      <c r="BH65" s="475"/>
      <c r="BI65" s="526"/>
      <c r="BJ65" s="527"/>
      <c r="BK65" s="528"/>
      <c r="BL65" s="308"/>
      <c r="BM65" s="308"/>
      <c r="BN65" s="644"/>
      <c r="BO65" s="314"/>
      <c r="BP65" s="314"/>
      <c r="BQ65" s="281"/>
      <c r="BR65" s="617"/>
      <c r="BS65" s="617"/>
      <c r="BT65" s="648"/>
      <c r="BU65" s="314"/>
      <c r="BV65" s="314"/>
      <c r="BW65" s="281"/>
      <c r="BX65" s="314"/>
      <c r="BY65" s="314"/>
      <c r="BZ65" s="281"/>
      <c r="CA65" s="684"/>
      <c r="CB65" s="648"/>
      <c r="CC65" s="314"/>
      <c r="CD65" s="314"/>
      <c r="CE65" s="281"/>
      <c r="CF65" s="289"/>
      <c r="CG65" s="289"/>
      <c r="CH65" s="291"/>
      <c r="CI65" s="275"/>
      <c r="CJ65" s="278"/>
      <c r="CK65" s="281"/>
    </row>
    <row r="66" spans="4:89" ht="15" customHeight="1" x14ac:dyDescent="0.25">
      <c r="D66" s="461"/>
      <c r="E66" s="308"/>
      <c r="F66" s="473"/>
      <c r="G66" s="308"/>
      <c r="H66" s="308"/>
      <c r="I66" s="308"/>
      <c r="J66" s="421"/>
      <c r="K66" s="308"/>
      <c r="L66" s="397"/>
      <c r="M66" s="397"/>
      <c r="N66" s="308"/>
      <c r="O66" s="510"/>
      <c r="P66" s="427"/>
      <c r="Q66" s="419" t="s">
        <v>73</v>
      </c>
      <c r="R66" s="426">
        <v>3000</v>
      </c>
      <c r="S66" s="403"/>
      <c r="T66" s="430"/>
      <c r="U66" s="430"/>
      <c r="V66" s="433"/>
      <c r="W66" s="433"/>
      <c r="X66" s="379">
        <f>T65/R66</f>
        <v>0</v>
      </c>
      <c r="Y66" s="342"/>
      <c r="Z66" s="342"/>
      <c r="AA66" s="518"/>
      <c r="AB66" s="535"/>
      <c r="AC66" s="535"/>
      <c r="AD66" s="328"/>
      <c r="AE66" s="328"/>
      <c r="AF66" s="239">
        <f>AB65/R66</f>
        <v>0</v>
      </c>
      <c r="AG66" s="239"/>
      <c r="AH66" s="236"/>
      <c r="AI66" s="677"/>
      <c r="AJ66" s="512">
        <v>0</v>
      </c>
      <c r="AK66" s="341">
        <f>AJ66/R66</f>
        <v>0</v>
      </c>
      <c r="AL66" s="342"/>
      <c r="AM66" s="342"/>
      <c r="AN66" s="347"/>
      <c r="AO66" s="364">
        <v>720</v>
      </c>
      <c r="AP66" s="345">
        <f>AO66/R66</f>
        <v>0.24</v>
      </c>
      <c r="AQ66" s="342"/>
      <c r="AR66" s="351"/>
      <c r="AS66" s="351"/>
      <c r="AT66" s="328"/>
      <c r="AU66" s="331"/>
      <c r="AV66" s="328"/>
      <c r="AW66" s="261"/>
      <c r="AX66" s="270">
        <f>AO66+AJ66+AB65</f>
        <v>720</v>
      </c>
      <c r="AY66" s="226">
        <f>AX66/R66</f>
        <v>0.24</v>
      </c>
      <c r="AZ66" s="227"/>
      <c r="BA66" s="233"/>
      <c r="BB66" s="230"/>
      <c r="BC66" s="296"/>
      <c r="BD66" s="298"/>
      <c r="BE66" s="298"/>
      <c r="BF66" s="296"/>
      <c r="BG66" s="301"/>
      <c r="BH66" s="475" t="s">
        <v>74</v>
      </c>
      <c r="BI66" s="520" t="s">
        <v>31</v>
      </c>
      <c r="BJ66" s="521"/>
      <c r="BK66" s="522"/>
      <c r="BL66" s="308"/>
      <c r="BM66" s="308"/>
      <c r="BN66" s="644"/>
      <c r="BO66" s="314"/>
      <c r="BP66" s="314"/>
      <c r="BQ66" s="281"/>
      <c r="BR66" s="617"/>
      <c r="BS66" s="617"/>
      <c r="BT66" s="648"/>
      <c r="BU66" s="314"/>
      <c r="BV66" s="314"/>
      <c r="BW66" s="281"/>
      <c r="BX66" s="314"/>
      <c r="BY66" s="314"/>
      <c r="BZ66" s="281"/>
      <c r="CA66" s="684"/>
      <c r="CB66" s="648"/>
      <c r="CC66" s="314"/>
      <c r="CD66" s="314"/>
      <c r="CE66" s="281"/>
      <c r="CF66" s="289"/>
      <c r="CG66" s="289"/>
      <c r="CH66" s="291"/>
      <c r="CI66" s="275"/>
      <c r="CJ66" s="278"/>
      <c r="CK66" s="281"/>
    </row>
    <row r="67" spans="4:89" ht="15" customHeight="1" x14ac:dyDescent="0.25">
      <c r="D67" s="461"/>
      <c r="E67" s="308"/>
      <c r="F67" s="473"/>
      <c r="G67" s="308"/>
      <c r="H67" s="308"/>
      <c r="I67" s="308"/>
      <c r="J67" s="421"/>
      <c r="K67" s="308"/>
      <c r="L67" s="397"/>
      <c r="M67" s="397"/>
      <c r="N67" s="308"/>
      <c r="O67" s="510"/>
      <c r="P67" s="427"/>
      <c r="Q67" s="507"/>
      <c r="R67" s="427"/>
      <c r="S67" s="403"/>
      <c r="T67" s="430"/>
      <c r="U67" s="430"/>
      <c r="V67" s="433"/>
      <c r="W67" s="433"/>
      <c r="X67" s="379"/>
      <c r="Y67" s="342"/>
      <c r="Z67" s="342"/>
      <c r="AA67" s="518"/>
      <c r="AB67" s="535"/>
      <c r="AC67" s="535"/>
      <c r="AD67" s="328"/>
      <c r="AE67" s="328"/>
      <c r="AF67" s="239"/>
      <c r="AG67" s="239"/>
      <c r="AH67" s="236"/>
      <c r="AI67" s="677"/>
      <c r="AJ67" s="513"/>
      <c r="AK67" s="342"/>
      <c r="AL67" s="342"/>
      <c r="AM67" s="342"/>
      <c r="AN67" s="347"/>
      <c r="AO67" s="365"/>
      <c r="AP67" s="347"/>
      <c r="AQ67" s="342"/>
      <c r="AR67" s="351"/>
      <c r="AS67" s="351"/>
      <c r="AT67" s="328"/>
      <c r="AU67" s="331"/>
      <c r="AV67" s="328"/>
      <c r="AW67" s="261"/>
      <c r="AX67" s="271"/>
      <c r="AY67" s="227"/>
      <c r="AZ67" s="227"/>
      <c r="BA67" s="233"/>
      <c r="BB67" s="230"/>
      <c r="BC67" s="296"/>
      <c r="BD67" s="298"/>
      <c r="BE67" s="298"/>
      <c r="BF67" s="296"/>
      <c r="BG67" s="301"/>
      <c r="BH67" s="475"/>
      <c r="BI67" s="523"/>
      <c r="BJ67" s="524"/>
      <c r="BK67" s="525"/>
      <c r="BL67" s="308"/>
      <c r="BM67" s="308"/>
      <c r="BN67" s="644"/>
      <c r="BO67" s="314"/>
      <c r="BP67" s="314"/>
      <c r="BQ67" s="281"/>
      <c r="BR67" s="617"/>
      <c r="BS67" s="617"/>
      <c r="BT67" s="648"/>
      <c r="BU67" s="314"/>
      <c r="BV67" s="314"/>
      <c r="BW67" s="281"/>
      <c r="BX67" s="314"/>
      <c r="BY67" s="314"/>
      <c r="BZ67" s="281"/>
      <c r="CA67" s="684"/>
      <c r="CB67" s="648"/>
      <c r="CC67" s="314"/>
      <c r="CD67" s="314"/>
      <c r="CE67" s="281"/>
      <c r="CF67" s="289"/>
      <c r="CG67" s="289"/>
      <c r="CH67" s="291"/>
      <c r="CI67" s="275"/>
      <c r="CJ67" s="278"/>
      <c r="CK67" s="281"/>
    </row>
    <row r="68" spans="4:89" ht="85.5" customHeight="1" x14ac:dyDescent="0.25">
      <c r="D68" s="461"/>
      <c r="E68" s="308"/>
      <c r="F68" s="473"/>
      <c r="G68" s="308"/>
      <c r="H68" s="308"/>
      <c r="I68" s="308"/>
      <c r="J68" s="421"/>
      <c r="K68" s="308"/>
      <c r="L68" s="397"/>
      <c r="M68" s="397"/>
      <c r="N68" s="308"/>
      <c r="O68" s="510"/>
      <c r="P68" s="427"/>
      <c r="Q68" s="507"/>
      <c r="R68" s="427"/>
      <c r="S68" s="403"/>
      <c r="T68" s="430"/>
      <c r="U68" s="430"/>
      <c r="V68" s="433"/>
      <c r="W68" s="433"/>
      <c r="X68" s="379"/>
      <c r="Y68" s="342"/>
      <c r="Z68" s="342"/>
      <c r="AA68" s="518"/>
      <c r="AB68" s="535"/>
      <c r="AC68" s="535"/>
      <c r="AD68" s="328"/>
      <c r="AE68" s="328"/>
      <c r="AF68" s="239"/>
      <c r="AG68" s="239"/>
      <c r="AH68" s="236"/>
      <c r="AI68" s="677"/>
      <c r="AJ68" s="513"/>
      <c r="AK68" s="342"/>
      <c r="AL68" s="342"/>
      <c r="AM68" s="342"/>
      <c r="AN68" s="347"/>
      <c r="AO68" s="365"/>
      <c r="AP68" s="347"/>
      <c r="AQ68" s="342"/>
      <c r="AR68" s="351"/>
      <c r="AS68" s="351"/>
      <c r="AT68" s="328"/>
      <c r="AU68" s="331"/>
      <c r="AV68" s="328"/>
      <c r="AW68" s="261"/>
      <c r="AX68" s="271"/>
      <c r="AY68" s="227"/>
      <c r="AZ68" s="227"/>
      <c r="BA68" s="233"/>
      <c r="BB68" s="230"/>
      <c r="BC68" s="296"/>
      <c r="BD68" s="298"/>
      <c r="BE68" s="298"/>
      <c r="BF68" s="296"/>
      <c r="BG68" s="301"/>
      <c r="BH68" s="475"/>
      <c r="BI68" s="523"/>
      <c r="BJ68" s="524"/>
      <c r="BK68" s="525"/>
      <c r="BL68" s="308"/>
      <c r="BM68" s="308"/>
      <c r="BN68" s="644"/>
      <c r="BO68" s="314"/>
      <c r="BP68" s="314"/>
      <c r="BQ68" s="281"/>
      <c r="BR68" s="617"/>
      <c r="BS68" s="617"/>
      <c r="BT68" s="648"/>
      <c r="BU68" s="314"/>
      <c r="BV68" s="314"/>
      <c r="BW68" s="281"/>
      <c r="BX68" s="314"/>
      <c r="BY68" s="314"/>
      <c r="BZ68" s="281"/>
      <c r="CA68" s="684"/>
      <c r="CB68" s="648"/>
      <c r="CC68" s="314"/>
      <c r="CD68" s="314"/>
      <c r="CE68" s="281"/>
      <c r="CF68" s="289"/>
      <c r="CG68" s="289"/>
      <c r="CH68" s="291"/>
      <c r="CI68" s="275"/>
      <c r="CJ68" s="278"/>
      <c r="CK68" s="281"/>
    </row>
    <row r="69" spans="4:89" ht="99.75" customHeight="1" x14ac:dyDescent="0.25">
      <c r="D69" s="461"/>
      <c r="E69" s="308"/>
      <c r="F69" s="473"/>
      <c r="G69" s="308"/>
      <c r="H69" s="308"/>
      <c r="I69" s="308"/>
      <c r="J69" s="421"/>
      <c r="K69" s="308"/>
      <c r="L69" s="397"/>
      <c r="M69" s="397"/>
      <c r="N69" s="308"/>
      <c r="O69" s="510"/>
      <c r="P69" s="427"/>
      <c r="Q69" s="507"/>
      <c r="R69" s="427"/>
      <c r="S69" s="403"/>
      <c r="T69" s="431"/>
      <c r="U69" s="431"/>
      <c r="V69" s="433"/>
      <c r="W69" s="433"/>
      <c r="X69" s="379"/>
      <c r="Y69" s="342"/>
      <c r="Z69" s="342"/>
      <c r="AA69" s="518"/>
      <c r="AB69" s="536"/>
      <c r="AC69" s="536"/>
      <c r="AD69" s="328"/>
      <c r="AE69" s="328"/>
      <c r="AF69" s="239"/>
      <c r="AG69" s="239"/>
      <c r="AH69" s="236"/>
      <c r="AI69" s="677"/>
      <c r="AJ69" s="514"/>
      <c r="AK69" s="343"/>
      <c r="AL69" s="342"/>
      <c r="AM69" s="342"/>
      <c r="AN69" s="347"/>
      <c r="AO69" s="366"/>
      <c r="AP69" s="346"/>
      <c r="AQ69" s="342"/>
      <c r="AR69" s="351"/>
      <c r="AS69" s="351"/>
      <c r="AT69" s="328"/>
      <c r="AU69" s="331"/>
      <c r="AV69" s="328"/>
      <c r="AW69" s="261"/>
      <c r="AX69" s="272"/>
      <c r="AY69" s="228"/>
      <c r="AZ69" s="227"/>
      <c r="BA69" s="233"/>
      <c r="BB69" s="230"/>
      <c r="BC69" s="299"/>
      <c r="BD69" s="298"/>
      <c r="BE69" s="298"/>
      <c r="BF69" s="299"/>
      <c r="BG69" s="301"/>
      <c r="BH69" s="475"/>
      <c r="BI69" s="523"/>
      <c r="BJ69" s="524"/>
      <c r="BK69" s="525"/>
      <c r="BL69" s="308"/>
      <c r="BM69" s="308"/>
      <c r="BN69" s="644"/>
      <c r="BO69" s="314"/>
      <c r="BP69" s="314"/>
      <c r="BQ69" s="281"/>
      <c r="BR69" s="617"/>
      <c r="BS69" s="617"/>
      <c r="BT69" s="648"/>
      <c r="BU69" s="314"/>
      <c r="BV69" s="314"/>
      <c r="BW69" s="281"/>
      <c r="BX69" s="314"/>
      <c r="BY69" s="314"/>
      <c r="BZ69" s="281"/>
      <c r="CA69" s="684"/>
      <c r="CB69" s="648"/>
      <c r="CC69" s="314"/>
      <c r="CD69" s="314"/>
      <c r="CE69" s="281"/>
      <c r="CF69" s="289"/>
      <c r="CG69" s="289"/>
      <c r="CH69" s="291"/>
      <c r="CI69" s="275"/>
      <c r="CJ69" s="278"/>
      <c r="CK69" s="281"/>
    </row>
    <row r="70" spans="4:89" ht="15" customHeight="1" x14ac:dyDescent="0.25">
      <c r="D70" s="461"/>
      <c r="E70" s="308"/>
      <c r="F70" s="473"/>
      <c r="G70" s="308"/>
      <c r="H70" s="308"/>
      <c r="I70" s="308"/>
      <c r="J70" s="421"/>
      <c r="K70" s="308"/>
      <c r="L70" s="397"/>
      <c r="M70" s="397"/>
      <c r="N70" s="308"/>
      <c r="O70" s="510"/>
      <c r="P70" s="427"/>
      <c r="Q70" s="508"/>
      <c r="R70" s="428"/>
      <c r="S70" s="403"/>
      <c r="T70" s="402">
        <v>0</v>
      </c>
      <c r="U70" s="402">
        <v>0</v>
      </c>
      <c r="V70" s="433"/>
      <c r="W70" s="433"/>
      <c r="X70" s="379"/>
      <c r="Y70" s="342"/>
      <c r="Z70" s="342"/>
      <c r="AA70" s="518"/>
      <c r="AB70" s="517">
        <v>0</v>
      </c>
      <c r="AC70" s="517">
        <v>0</v>
      </c>
      <c r="AD70" s="328"/>
      <c r="AE70" s="328"/>
      <c r="AF70" s="239"/>
      <c r="AG70" s="239"/>
      <c r="AH70" s="236"/>
      <c r="AI70" s="677"/>
      <c r="AJ70" s="384">
        <v>7400</v>
      </c>
      <c r="AK70" s="379">
        <v>1</v>
      </c>
      <c r="AL70" s="342"/>
      <c r="AM70" s="342"/>
      <c r="AN70" s="347"/>
      <c r="AO70" s="369">
        <v>0</v>
      </c>
      <c r="AP70" s="340">
        <f>AO70/R71</f>
        <v>0</v>
      </c>
      <c r="AQ70" s="342"/>
      <c r="AR70" s="351"/>
      <c r="AS70" s="351"/>
      <c r="AT70" s="328"/>
      <c r="AU70" s="331"/>
      <c r="AV70" s="328"/>
      <c r="AW70" s="261"/>
      <c r="AX70" s="244">
        <f>AO70+AJ70+AB70</f>
        <v>7400</v>
      </c>
      <c r="AY70" s="235">
        <v>1</v>
      </c>
      <c r="AZ70" s="227"/>
      <c r="BA70" s="233"/>
      <c r="BB70" s="230"/>
      <c r="BC70" s="295" t="s">
        <v>193</v>
      </c>
      <c r="BD70" s="298" t="s">
        <v>193</v>
      </c>
      <c r="BE70" s="298" t="s">
        <v>308</v>
      </c>
      <c r="BF70" s="298" t="s">
        <v>309</v>
      </c>
      <c r="BG70" s="301"/>
      <c r="BH70" s="475"/>
      <c r="BI70" s="526"/>
      <c r="BJ70" s="527"/>
      <c r="BK70" s="528"/>
      <c r="BL70" s="308"/>
      <c r="BM70" s="308"/>
      <c r="BN70" s="644"/>
      <c r="BO70" s="314"/>
      <c r="BP70" s="314"/>
      <c r="BQ70" s="281"/>
      <c r="BR70" s="617"/>
      <c r="BS70" s="617"/>
      <c r="BT70" s="648"/>
      <c r="BU70" s="314"/>
      <c r="BV70" s="314"/>
      <c r="BW70" s="281"/>
      <c r="BX70" s="314"/>
      <c r="BY70" s="314"/>
      <c r="BZ70" s="281"/>
      <c r="CA70" s="684"/>
      <c r="CB70" s="648"/>
      <c r="CC70" s="314"/>
      <c r="CD70" s="314"/>
      <c r="CE70" s="281"/>
      <c r="CF70" s="289"/>
      <c r="CG70" s="289"/>
      <c r="CH70" s="291"/>
      <c r="CI70" s="275"/>
      <c r="CJ70" s="278"/>
      <c r="CK70" s="281"/>
    </row>
    <row r="71" spans="4:89" ht="15" customHeight="1" x14ac:dyDescent="0.25">
      <c r="D71" s="461"/>
      <c r="E71" s="308"/>
      <c r="F71" s="473"/>
      <c r="G71" s="308"/>
      <c r="H71" s="308"/>
      <c r="I71" s="308"/>
      <c r="J71" s="421"/>
      <c r="K71" s="308"/>
      <c r="L71" s="397"/>
      <c r="M71" s="397"/>
      <c r="N71" s="308"/>
      <c r="O71" s="510"/>
      <c r="P71" s="427"/>
      <c r="Q71" s="419" t="s">
        <v>75</v>
      </c>
      <c r="R71" s="499">
        <v>7000</v>
      </c>
      <c r="S71" s="403"/>
      <c r="T71" s="403"/>
      <c r="U71" s="403"/>
      <c r="V71" s="433"/>
      <c r="W71" s="433"/>
      <c r="X71" s="379">
        <f>T70/R71</f>
        <v>0</v>
      </c>
      <c r="Y71" s="342"/>
      <c r="Z71" s="342"/>
      <c r="AA71" s="518"/>
      <c r="AB71" s="518"/>
      <c r="AC71" s="518"/>
      <c r="AD71" s="328"/>
      <c r="AE71" s="328"/>
      <c r="AF71" s="239">
        <f>AB70/R71</f>
        <v>0</v>
      </c>
      <c r="AG71" s="239"/>
      <c r="AH71" s="236"/>
      <c r="AI71" s="677"/>
      <c r="AJ71" s="384"/>
      <c r="AK71" s="379"/>
      <c r="AL71" s="342"/>
      <c r="AM71" s="342"/>
      <c r="AN71" s="347"/>
      <c r="AO71" s="370"/>
      <c r="AP71" s="340"/>
      <c r="AQ71" s="342"/>
      <c r="AR71" s="351"/>
      <c r="AS71" s="351"/>
      <c r="AT71" s="328"/>
      <c r="AU71" s="331"/>
      <c r="AV71" s="328"/>
      <c r="AW71" s="261"/>
      <c r="AX71" s="263"/>
      <c r="AY71" s="236"/>
      <c r="AZ71" s="227"/>
      <c r="BA71" s="233"/>
      <c r="BB71" s="230"/>
      <c r="BC71" s="296"/>
      <c r="BD71" s="298"/>
      <c r="BE71" s="298"/>
      <c r="BF71" s="298"/>
      <c r="BG71" s="301"/>
      <c r="BH71" s="303" t="s">
        <v>76</v>
      </c>
      <c r="BI71" s="520" t="s">
        <v>77</v>
      </c>
      <c r="BJ71" s="521"/>
      <c r="BK71" s="522"/>
      <c r="BL71" s="308"/>
      <c r="BM71" s="308"/>
      <c r="BN71" s="644"/>
      <c r="BO71" s="314"/>
      <c r="BP71" s="314"/>
      <c r="BQ71" s="281"/>
      <c r="BR71" s="617"/>
      <c r="BS71" s="617"/>
      <c r="BT71" s="648"/>
      <c r="BU71" s="314"/>
      <c r="BV71" s="314"/>
      <c r="BW71" s="281"/>
      <c r="BX71" s="314"/>
      <c r="BY71" s="314"/>
      <c r="BZ71" s="281"/>
      <c r="CA71" s="684"/>
      <c r="CB71" s="648"/>
      <c r="CC71" s="314"/>
      <c r="CD71" s="314"/>
      <c r="CE71" s="281"/>
      <c r="CF71" s="289"/>
      <c r="CG71" s="289"/>
      <c r="CH71" s="291"/>
      <c r="CI71" s="275"/>
      <c r="CJ71" s="278"/>
      <c r="CK71" s="281"/>
    </row>
    <row r="72" spans="4:89" ht="48" customHeight="1" x14ac:dyDescent="0.25">
      <c r="D72" s="461"/>
      <c r="E72" s="308"/>
      <c r="F72" s="473"/>
      <c r="G72" s="308"/>
      <c r="H72" s="308"/>
      <c r="I72" s="308"/>
      <c r="J72" s="421"/>
      <c r="K72" s="308"/>
      <c r="L72" s="397"/>
      <c r="M72" s="397"/>
      <c r="N72" s="308"/>
      <c r="O72" s="510"/>
      <c r="P72" s="427"/>
      <c r="Q72" s="507"/>
      <c r="R72" s="499"/>
      <c r="S72" s="403"/>
      <c r="T72" s="403"/>
      <c r="U72" s="403"/>
      <c r="V72" s="433"/>
      <c r="W72" s="433"/>
      <c r="X72" s="379"/>
      <c r="Y72" s="342"/>
      <c r="Z72" s="342"/>
      <c r="AA72" s="518"/>
      <c r="AB72" s="518"/>
      <c r="AC72" s="518"/>
      <c r="AD72" s="328"/>
      <c r="AE72" s="328"/>
      <c r="AF72" s="239"/>
      <c r="AG72" s="239"/>
      <c r="AH72" s="236"/>
      <c r="AI72" s="677"/>
      <c r="AJ72" s="384"/>
      <c r="AK72" s="379"/>
      <c r="AL72" s="342"/>
      <c r="AM72" s="342"/>
      <c r="AN72" s="347"/>
      <c r="AO72" s="370"/>
      <c r="AP72" s="340"/>
      <c r="AQ72" s="342"/>
      <c r="AR72" s="351"/>
      <c r="AS72" s="351"/>
      <c r="AT72" s="328"/>
      <c r="AU72" s="331"/>
      <c r="AV72" s="328"/>
      <c r="AW72" s="261"/>
      <c r="AX72" s="263"/>
      <c r="AY72" s="236"/>
      <c r="AZ72" s="227"/>
      <c r="BA72" s="233"/>
      <c r="BB72" s="230"/>
      <c r="BC72" s="296"/>
      <c r="BD72" s="298"/>
      <c r="BE72" s="298"/>
      <c r="BF72" s="298"/>
      <c r="BG72" s="301"/>
      <c r="BH72" s="304"/>
      <c r="BI72" s="523"/>
      <c r="BJ72" s="524"/>
      <c r="BK72" s="525"/>
      <c r="BL72" s="308"/>
      <c r="BM72" s="308"/>
      <c r="BN72" s="644"/>
      <c r="BO72" s="314"/>
      <c r="BP72" s="314"/>
      <c r="BQ72" s="281"/>
      <c r="BR72" s="617"/>
      <c r="BS72" s="617"/>
      <c r="BT72" s="648"/>
      <c r="BU72" s="314"/>
      <c r="BV72" s="314"/>
      <c r="BW72" s="281"/>
      <c r="BX72" s="314"/>
      <c r="BY72" s="314"/>
      <c r="BZ72" s="281"/>
      <c r="CA72" s="684"/>
      <c r="CB72" s="648"/>
      <c r="CC72" s="314"/>
      <c r="CD72" s="314"/>
      <c r="CE72" s="281"/>
      <c r="CF72" s="289"/>
      <c r="CG72" s="289"/>
      <c r="CH72" s="291"/>
      <c r="CI72" s="275"/>
      <c r="CJ72" s="278"/>
      <c r="CK72" s="281"/>
    </row>
    <row r="73" spans="4:89" ht="54.75" customHeight="1" x14ac:dyDescent="0.25">
      <c r="D73" s="461"/>
      <c r="E73" s="308"/>
      <c r="F73" s="473"/>
      <c r="G73" s="308"/>
      <c r="H73" s="308"/>
      <c r="I73" s="308"/>
      <c r="J73" s="421"/>
      <c r="K73" s="308"/>
      <c r="L73" s="397"/>
      <c r="M73" s="397"/>
      <c r="N73" s="308"/>
      <c r="O73" s="510"/>
      <c r="P73" s="427"/>
      <c r="Q73" s="508"/>
      <c r="R73" s="499"/>
      <c r="S73" s="403"/>
      <c r="T73" s="404"/>
      <c r="U73" s="404"/>
      <c r="V73" s="433"/>
      <c r="W73" s="433"/>
      <c r="X73" s="379"/>
      <c r="Y73" s="342"/>
      <c r="Z73" s="342"/>
      <c r="AA73" s="518"/>
      <c r="AB73" s="519"/>
      <c r="AC73" s="519"/>
      <c r="AD73" s="328"/>
      <c r="AE73" s="328"/>
      <c r="AF73" s="239"/>
      <c r="AG73" s="239"/>
      <c r="AH73" s="236"/>
      <c r="AI73" s="677"/>
      <c r="AJ73" s="384"/>
      <c r="AK73" s="379"/>
      <c r="AL73" s="342"/>
      <c r="AM73" s="342"/>
      <c r="AN73" s="347"/>
      <c r="AO73" s="371"/>
      <c r="AP73" s="340"/>
      <c r="AQ73" s="342"/>
      <c r="AR73" s="351"/>
      <c r="AS73" s="351"/>
      <c r="AT73" s="328"/>
      <c r="AU73" s="331"/>
      <c r="AV73" s="328"/>
      <c r="AW73" s="261"/>
      <c r="AX73" s="264"/>
      <c r="AY73" s="237"/>
      <c r="AZ73" s="227"/>
      <c r="BA73" s="233"/>
      <c r="BB73" s="230"/>
      <c r="BC73" s="299"/>
      <c r="BD73" s="298"/>
      <c r="BE73" s="298"/>
      <c r="BF73" s="298"/>
      <c r="BG73" s="301"/>
      <c r="BH73" s="475" t="s">
        <v>78</v>
      </c>
      <c r="BI73" s="503" t="s">
        <v>31</v>
      </c>
      <c r="BJ73" s="503"/>
      <c r="BK73" s="503"/>
      <c r="BL73" s="308"/>
      <c r="BM73" s="308"/>
      <c r="BN73" s="644"/>
      <c r="BO73" s="314"/>
      <c r="BP73" s="314"/>
      <c r="BQ73" s="281"/>
      <c r="BR73" s="617"/>
      <c r="BS73" s="617"/>
      <c r="BT73" s="648"/>
      <c r="BU73" s="314"/>
      <c r="BV73" s="314"/>
      <c r="BW73" s="281"/>
      <c r="BX73" s="314"/>
      <c r="BY73" s="314"/>
      <c r="BZ73" s="281"/>
      <c r="CA73" s="684"/>
      <c r="CB73" s="648"/>
      <c r="CC73" s="314"/>
      <c r="CD73" s="314"/>
      <c r="CE73" s="281"/>
      <c r="CF73" s="289"/>
      <c r="CG73" s="289"/>
      <c r="CH73" s="291"/>
      <c r="CI73" s="275"/>
      <c r="CJ73" s="278"/>
      <c r="CK73" s="281"/>
    </row>
    <row r="74" spans="4:89" ht="15" customHeight="1" x14ac:dyDescent="0.25">
      <c r="D74" s="461"/>
      <c r="E74" s="308"/>
      <c r="F74" s="473"/>
      <c r="G74" s="308"/>
      <c r="H74" s="308"/>
      <c r="I74" s="308"/>
      <c r="J74" s="421"/>
      <c r="K74" s="308"/>
      <c r="L74" s="397"/>
      <c r="M74" s="397"/>
      <c r="N74" s="308"/>
      <c r="O74" s="510"/>
      <c r="P74" s="427"/>
      <c r="Q74" s="419" t="s">
        <v>79</v>
      </c>
      <c r="R74" s="426">
        <v>24653</v>
      </c>
      <c r="S74" s="403"/>
      <c r="T74" s="405">
        <f>715+1351+1349</f>
        <v>3415</v>
      </c>
      <c r="U74" s="405">
        <f>715+1351+1349</f>
        <v>3415</v>
      </c>
      <c r="V74" s="433"/>
      <c r="W74" s="433"/>
      <c r="X74" s="341">
        <f>T74/R74</f>
        <v>0.1385226950066929</v>
      </c>
      <c r="Y74" s="342"/>
      <c r="Z74" s="342"/>
      <c r="AA74" s="518"/>
      <c r="AB74" s="627">
        <f>715+1351+1349+7474+1330+1719</f>
        <v>13938</v>
      </c>
      <c r="AC74" s="627">
        <v>10523</v>
      </c>
      <c r="AD74" s="328"/>
      <c r="AE74" s="328"/>
      <c r="AF74" s="239">
        <f>AB74/R74</f>
        <v>0.56536729809759456</v>
      </c>
      <c r="AG74" s="239"/>
      <c r="AH74" s="236"/>
      <c r="AI74" s="677"/>
      <c r="AJ74" s="380">
        <f>979+1200+3046+346+115</f>
        <v>5686</v>
      </c>
      <c r="AK74" s="341">
        <f>AJ74/R74</f>
        <v>0.23064130126150975</v>
      </c>
      <c r="AL74" s="342"/>
      <c r="AM74" s="342"/>
      <c r="AN74" s="347"/>
      <c r="AO74" s="336">
        <v>5231</v>
      </c>
      <c r="AP74" s="345">
        <f>AO74/R74</f>
        <v>0.21218512959883179</v>
      </c>
      <c r="AQ74" s="342"/>
      <c r="AR74" s="351"/>
      <c r="AS74" s="351"/>
      <c r="AT74" s="328"/>
      <c r="AU74" s="331"/>
      <c r="AV74" s="328"/>
      <c r="AW74" s="261"/>
      <c r="AX74" s="273">
        <f>AO74+AJ74+AB74</f>
        <v>24855</v>
      </c>
      <c r="AY74" s="226">
        <v>1</v>
      </c>
      <c r="AZ74" s="227"/>
      <c r="BA74" s="233"/>
      <c r="BB74" s="230"/>
      <c r="BC74" s="295" t="s">
        <v>191</v>
      </c>
      <c r="BD74" s="298" t="s">
        <v>225</v>
      </c>
      <c r="BE74" s="298" t="s">
        <v>267</v>
      </c>
      <c r="BF74" s="298" t="s">
        <v>310</v>
      </c>
      <c r="BG74" s="301"/>
      <c r="BH74" s="475"/>
      <c r="BI74" s="503"/>
      <c r="BJ74" s="503"/>
      <c r="BK74" s="503"/>
      <c r="BL74" s="308"/>
      <c r="BM74" s="308"/>
      <c r="BN74" s="644"/>
      <c r="BO74" s="314"/>
      <c r="BP74" s="314"/>
      <c r="BQ74" s="281"/>
      <c r="BR74" s="617"/>
      <c r="BS74" s="617"/>
      <c r="BT74" s="648"/>
      <c r="BU74" s="314"/>
      <c r="BV74" s="314"/>
      <c r="BW74" s="281"/>
      <c r="BX74" s="314"/>
      <c r="BY74" s="314"/>
      <c r="BZ74" s="281"/>
      <c r="CA74" s="684"/>
      <c r="CB74" s="648"/>
      <c r="CC74" s="314"/>
      <c r="CD74" s="314"/>
      <c r="CE74" s="281"/>
      <c r="CF74" s="289"/>
      <c r="CG74" s="289"/>
      <c r="CH74" s="291"/>
      <c r="CI74" s="275"/>
      <c r="CJ74" s="278"/>
      <c r="CK74" s="281"/>
    </row>
    <row r="75" spans="4:89" ht="219.75" customHeight="1" x14ac:dyDescent="0.25">
      <c r="D75" s="461"/>
      <c r="E75" s="308"/>
      <c r="F75" s="474"/>
      <c r="G75" s="304"/>
      <c r="H75" s="304"/>
      <c r="I75" s="304"/>
      <c r="J75" s="422"/>
      <c r="K75" s="304"/>
      <c r="L75" s="398"/>
      <c r="M75" s="398"/>
      <c r="N75" s="304"/>
      <c r="O75" s="511"/>
      <c r="P75" s="428"/>
      <c r="Q75" s="508"/>
      <c r="R75" s="428"/>
      <c r="S75" s="404"/>
      <c r="T75" s="406"/>
      <c r="U75" s="406"/>
      <c r="V75" s="434"/>
      <c r="W75" s="434"/>
      <c r="X75" s="343"/>
      <c r="Y75" s="343"/>
      <c r="Z75" s="342"/>
      <c r="AA75" s="519"/>
      <c r="AB75" s="629"/>
      <c r="AC75" s="629"/>
      <c r="AD75" s="329"/>
      <c r="AE75" s="329"/>
      <c r="AF75" s="239"/>
      <c r="AG75" s="239"/>
      <c r="AH75" s="236"/>
      <c r="AI75" s="678"/>
      <c r="AJ75" s="382"/>
      <c r="AK75" s="343"/>
      <c r="AL75" s="343"/>
      <c r="AM75" s="343"/>
      <c r="AN75" s="346"/>
      <c r="AO75" s="338"/>
      <c r="AP75" s="346"/>
      <c r="AQ75" s="343"/>
      <c r="AR75" s="351"/>
      <c r="AS75" s="351"/>
      <c r="AT75" s="329"/>
      <c r="AU75" s="332"/>
      <c r="AV75" s="328"/>
      <c r="AW75" s="261"/>
      <c r="AX75" s="259"/>
      <c r="AY75" s="228"/>
      <c r="AZ75" s="228"/>
      <c r="BA75" s="234"/>
      <c r="BB75" s="230"/>
      <c r="BC75" s="299"/>
      <c r="BD75" s="298"/>
      <c r="BE75" s="298"/>
      <c r="BF75" s="298"/>
      <c r="BG75" s="302"/>
      <c r="BH75" s="475"/>
      <c r="BI75" s="503"/>
      <c r="BJ75" s="503"/>
      <c r="BK75" s="503"/>
      <c r="BL75" s="304"/>
      <c r="BM75" s="304"/>
      <c r="BN75" s="645"/>
      <c r="BO75" s="315"/>
      <c r="BP75" s="315"/>
      <c r="BQ75" s="282"/>
      <c r="BR75" s="618"/>
      <c r="BS75" s="618"/>
      <c r="BT75" s="649"/>
      <c r="BU75" s="315"/>
      <c r="BV75" s="315"/>
      <c r="BW75" s="282"/>
      <c r="BX75" s="315"/>
      <c r="BY75" s="315"/>
      <c r="BZ75" s="282"/>
      <c r="CA75" s="685"/>
      <c r="CB75" s="649"/>
      <c r="CC75" s="315"/>
      <c r="CD75" s="315"/>
      <c r="CE75" s="282"/>
      <c r="CF75" s="290"/>
      <c r="CG75" s="290"/>
      <c r="CH75" s="287"/>
      <c r="CI75" s="276"/>
      <c r="CJ75" s="279"/>
      <c r="CK75" s="282"/>
    </row>
    <row r="76" spans="4:89" ht="15" customHeight="1" x14ac:dyDescent="0.25">
      <c r="D76" s="461"/>
      <c r="E76" s="308"/>
      <c r="F76" s="303" t="s">
        <v>80</v>
      </c>
      <c r="G76" s="472" t="s">
        <v>81</v>
      </c>
      <c r="H76" s="475" t="s">
        <v>82</v>
      </c>
      <c r="I76" s="303" t="s">
        <v>83</v>
      </c>
      <c r="J76" s="303">
        <v>100</v>
      </c>
      <c r="K76" s="303" t="s">
        <v>83</v>
      </c>
      <c r="L76" s="303">
        <v>73</v>
      </c>
      <c r="M76" s="303">
        <f>J76-73</f>
        <v>27</v>
      </c>
      <c r="N76" s="303" t="s">
        <v>84</v>
      </c>
      <c r="O76" s="463">
        <v>22</v>
      </c>
      <c r="P76" s="407">
        <v>7</v>
      </c>
      <c r="Q76" s="303" t="s">
        <v>85</v>
      </c>
      <c r="R76" s="407">
        <v>7</v>
      </c>
      <c r="S76" s="413">
        <v>20</v>
      </c>
      <c r="T76" s="413">
        <v>20</v>
      </c>
      <c r="U76" s="413">
        <v>20</v>
      </c>
      <c r="V76" s="436">
        <v>1</v>
      </c>
      <c r="W76" s="432">
        <f>(V76+V79)/2</f>
        <v>0.5</v>
      </c>
      <c r="X76" s="379">
        <v>1</v>
      </c>
      <c r="Y76" s="341">
        <f>(X76+X79)/2</f>
        <v>0.5</v>
      </c>
      <c r="Z76" s="342"/>
      <c r="AA76" s="601">
        <f>AB76+S76</f>
        <v>21</v>
      </c>
      <c r="AB76" s="601">
        <v>1</v>
      </c>
      <c r="AC76" s="601">
        <v>0</v>
      </c>
      <c r="AD76" s="583">
        <v>1</v>
      </c>
      <c r="AE76" s="327">
        <f>(AD76+AD79)/2</f>
        <v>0.5</v>
      </c>
      <c r="AF76" s="239">
        <f>AB76/R76</f>
        <v>0.14285714285714285</v>
      </c>
      <c r="AG76" s="239">
        <f>(AF76+AF79)/2</f>
        <v>7.1428571428571425E-2</v>
      </c>
      <c r="AH76" s="236"/>
      <c r="AI76" s="512">
        <v>0</v>
      </c>
      <c r="AJ76" s="646">
        <v>0</v>
      </c>
      <c r="AK76" s="341">
        <f>AI76/R76</f>
        <v>0</v>
      </c>
      <c r="AL76" s="341">
        <f>(AK76+AK79)/2</f>
        <v>0</v>
      </c>
      <c r="AM76" s="341">
        <f>(AK76+AK79)/2</f>
        <v>0</v>
      </c>
      <c r="AN76" s="369">
        <v>0</v>
      </c>
      <c r="AO76" s="372">
        <v>0</v>
      </c>
      <c r="AP76" s="345">
        <f>AN76/R76</f>
        <v>0</v>
      </c>
      <c r="AQ76" s="341">
        <f>(AP76+AP79)/2</f>
        <v>0</v>
      </c>
      <c r="AR76" s="341">
        <f>(AQ76+AQ79)/2</f>
        <v>0</v>
      </c>
      <c r="AS76" s="351"/>
      <c r="AT76" s="327">
        <v>1</v>
      </c>
      <c r="AU76" s="327">
        <f>(AT76+AT79)/2</f>
        <v>0.5</v>
      </c>
      <c r="AV76" s="328"/>
      <c r="AW76" s="266">
        <f>AN76+AI76+AA76</f>
        <v>21</v>
      </c>
      <c r="AX76" s="266">
        <f>AO76+AJ76+AA76</f>
        <v>21</v>
      </c>
      <c r="AY76" s="226">
        <v>1</v>
      </c>
      <c r="AZ76" s="226">
        <f>(AY76+AY79)/2</f>
        <v>0.5</v>
      </c>
      <c r="BA76" s="229">
        <f>(AY76+AY79)/2</f>
        <v>0.5</v>
      </c>
      <c r="BB76" s="230"/>
      <c r="BC76" s="305" t="s">
        <v>213</v>
      </c>
      <c r="BD76" s="309" t="s">
        <v>264</v>
      </c>
      <c r="BE76" s="309" t="s">
        <v>350</v>
      </c>
      <c r="BF76" s="309" t="s">
        <v>351</v>
      </c>
      <c r="BG76" s="657" t="s">
        <v>86</v>
      </c>
      <c r="BH76" s="475" t="s">
        <v>87</v>
      </c>
      <c r="BI76" s="604" t="s">
        <v>88</v>
      </c>
      <c r="BJ76" s="605"/>
      <c r="BK76" s="606"/>
      <c r="BL76" s="662" t="s">
        <v>89</v>
      </c>
      <c r="BM76" s="303" t="s">
        <v>293</v>
      </c>
      <c r="BN76" s="592">
        <v>5258601330</v>
      </c>
      <c r="BO76" s="313">
        <v>5921383463</v>
      </c>
      <c r="BP76" s="313">
        <v>3046061293</v>
      </c>
      <c r="BQ76" s="280">
        <f>BP76/BO76</f>
        <v>0.51441716484558631</v>
      </c>
      <c r="BR76" s="616">
        <v>6886250201</v>
      </c>
      <c r="BS76" s="616">
        <v>3046061293</v>
      </c>
      <c r="BT76" s="647">
        <f>BS76/BR76</f>
        <v>0.44233961939948979</v>
      </c>
      <c r="BU76" s="313">
        <v>4937226407</v>
      </c>
      <c r="BV76" s="313">
        <v>3346260771</v>
      </c>
      <c r="BW76" s="280">
        <f>BV76/BU76</f>
        <v>0.67776125604766091</v>
      </c>
      <c r="BX76" s="313"/>
      <c r="BY76" s="313"/>
      <c r="BZ76" s="280"/>
      <c r="CA76" s="683"/>
      <c r="CB76" s="647"/>
      <c r="CC76" s="313">
        <v>5628536138</v>
      </c>
      <c r="CD76" s="313">
        <v>4452760109</v>
      </c>
      <c r="CE76" s="280">
        <f>CD76/CC76</f>
        <v>0.79110447189599264</v>
      </c>
      <c r="CF76" s="288">
        <v>6201063535</v>
      </c>
      <c r="CG76" s="288">
        <v>5502319688</v>
      </c>
      <c r="CH76" s="286">
        <f>CG76/CF76</f>
        <v>0.88731870862858364</v>
      </c>
      <c r="CI76" s="274">
        <v>6833810812</v>
      </c>
      <c r="CJ76" s="277">
        <v>5502319688</v>
      </c>
      <c r="CK76" s="280">
        <f>CJ76/CI76</f>
        <v>0.8051612547333129</v>
      </c>
    </row>
    <row r="77" spans="4:89" ht="15" customHeight="1" x14ac:dyDescent="0.25">
      <c r="D77" s="461"/>
      <c r="E77" s="308"/>
      <c r="F77" s="308"/>
      <c r="G77" s="473"/>
      <c r="H77" s="475"/>
      <c r="I77" s="308"/>
      <c r="J77" s="308"/>
      <c r="K77" s="308"/>
      <c r="L77" s="308"/>
      <c r="M77" s="308"/>
      <c r="N77" s="308"/>
      <c r="O77" s="464"/>
      <c r="P77" s="408"/>
      <c r="Q77" s="308"/>
      <c r="R77" s="408"/>
      <c r="S77" s="414"/>
      <c r="T77" s="414"/>
      <c r="U77" s="414"/>
      <c r="V77" s="437"/>
      <c r="W77" s="433"/>
      <c r="X77" s="379"/>
      <c r="Y77" s="342"/>
      <c r="Z77" s="342"/>
      <c r="AA77" s="602"/>
      <c r="AB77" s="602"/>
      <c r="AC77" s="602"/>
      <c r="AD77" s="584"/>
      <c r="AE77" s="328"/>
      <c r="AF77" s="239"/>
      <c r="AG77" s="239"/>
      <c r="AH77" s="236"/>
      <c r="AI77" s="513"/>
      <c r="AJ77" s="646"/>
      <c r="AK77" s="342"/>
      <c r="AL77" s="342"/>
      <c r="AM77" s="342"/>
      <c r="AN77" s="370"/>
      <c r="AO77" s="372"/>
      <c r="AP77" s="347"/>
      <c r="AQ77" s="342"/>
      <c r="AR77" s="342"/>
      <c r="AS77" s="351"/>
      <c r="AT77" s="328"/>
      <c r="AU77" s="328"/>
      <c r="AV77" s="328"/>
      <c r="AW77" s="266"/>
      <c r="AX77" s="266"/>
      <c r="AY77" s="227"/>
      <c r="AZ77" s="227"/>
      <c r="BA77" s="230"/>
      <c r="BB77" s="230"/>
      <c r="BC77" s="306"/>
      <c r="BD77" s="309"/>
      <c r="BE77" s="309"/>
      <c r="BF77" s="309"/>
      <c r="BG77" s="658"/>
      <c r="BH77" s="475"/>
      <c r="BI77" s="607"/>
      <c r="BJ77" s="608"/>
      <c r="BK77" s="609"/>
      <c r="BL77" s="663"/>
      <c r="BM77" s="308"/>
      <c r="BN77" s="593"/>
      <c r="BO77" s="314"/>
      <c r="BP77" s="314"/>
      <c r="BQ77" s="281"/>
      <c r="BR77" s="617"/>
      <c r="BS77" s="617"/>
      <c r="BT77" s="648"/>
      <c r="BU77" s="314"/>
      <c r="BV77" s="314"/>
      <c r="BW77" s="281"/>
      <c r="BX77" s="314"/>
      <c r="BY77" s="314"/>
      <c r="BZ77" s="281"/>
      <c r="CA77" s="684"/>
      <c r="CB77" s="648"/>
      <c r="CC77" s="314"/>
      <c r="CD77" s="314"/>
      <c r="CE77" s="281"/>
      <c r="CF77" s="289"/>
      <c r="CG77" s="289"/>
      <c r="CH77" s="291"/>
      <c r="CI77" s="275"/>
      <c r="CJ77" s="278"/>
      <c r="CK77" s="281"/>
    </row>
    <row r="78" spans="4:89" ht="363" customHeight="1" x14ac:dyDescent="0.25">
      <c r="D78" s="461"/>
      <c r="E78" s="308"/>
      <c r="F78" s="308"/>
      <c r="G78" s="473"/>
      <c r="H78" s="475"/>
      <c r="I78" s="308"/>
      <c r="J78" s="304"/>
      <c r="K78" s="308"/>
      <c r="L78" s="304"/>
      <c r="M78" s="304"/>
      <c r="N78" s="304"/>
      <c r="O78" s="465"/>
      <c r="P78" s="409"/>
      <c r="Q78" s="304"/>
      <c r="R78" s="409"/>
      <c r="S78" s="415"/>
      <c r="T78" s="415"/>
      <c r="U78" s="415"/>
      <c r="V78" s="438"/>
      <c r="W78" s="433"/>
      <c r="X78" s="379"/>
      <c r="Y78" s="342"/>
      <c r="Z78" s="342"/>
      <c r="AA78" s="603"/>
      <c r="AB78" s="603"/>
      <c r="AC78" s="603"/>
      <c r="AD78" s="585"/>
      <c r="AE78" s="328"/>
      <c r="AF78" s="239"/>
      <c r="AG78" s="239"/>
      <c r="AH78" s="236"/>
      <c r="AI78" s="514"/>
      <c r="AJ78" s="646"/>
      <c r="AK78" s="343"/>
      <c r="AL78" s="342"/>
      <c r="AM78" s="342"/>
      <c r="AN78" s="371"/>
      <c r="AO78" s="372"/>
      <c r="AP78" s="346"/>
      <c r="AQ78" s="342"/>
      <c r="AR78" s="342"/>
      <c r="AS78" s="351"/>
      <c r="AT78" s="329"/>
      <c r="AU78" s="328"/>
      <c r="AV78" s="328"/>
      <c r="AW78" s="266"/>
      <c r="AX78" s="266"/>
      <c r="AY78" s="228"/>
      <c r="AZ78" s="227"/>
      <c r="BA78" s="230"/>
      <c r="BB78" s="230"/>
      <c r="BC78" s="307"/>
      <c r="BD78" s="309"/>
      <c r="BE78" s="309"/>
      <c r="BF78" s="309"/>
      <c r="BG78" s="658"/>
      <c r="BH78" s="475"/>
      <c r="BI78" s="610"/>
      <c r="BJ78" s="611"/>
      <c r="BK78" s="612"/>
      <c r="BL78" s="663"/>
      <c r="BM78" s="308"/>
      <c r="BN78" s="593"/>
      <c r="BO78" s="314"/>
      <c r="BP78" s="314"/>
      <c r="BQ78" s="281"/>
      <c r="BR78" s="617"/>
      <c r="BS78" s="617"/>
      <c r="BT78" s="648"/>
      <c r="BU78" s="314"/>
      <c r="BV78" s="314"/>
      <c r="BW78" s="281"/>
      <c r="BX78" s="314"/>
      <c r="BY78" s="314"/>
      <c r="BZ78" s="281"/>
      <c r="CA78" s="684"/>
      <c r="CB78" s="648"/>
      <c r="CC78" s="314"/>
      <c r="CD78" s="314"/>
      <c r="CE78" s="281"/>
      <c r="CF78" s="289"/>
      <c r="CG78" s="289"/>
      <c r="CH78" s="291"/>
      <c r="CI78" s="275"/>
      <c r="CJ78" s="278"/>
      <c r="CK78" s="281"/>
    </row>
    <row r="79" spans="4:89" ht="15" customHeight="1" x14ac:dyDescent="0.25">
      <c r="D79" s="461"/>
      <c r="E79" s="308"/>
      <c r="F79" s="308"/>
      <c r="G79" s="473"/>
      <c r="H79" s="303" t="s">
        <v>90</v>
      </c>
      <c r="I79" s="308"/>
      <c r="J79" s="396">
        <v>72</v>
      </c>
      <c r="K79" s="308"/>
      <c r="L79" s="541">
        <v>32</v>
      </c>
      <c r="M79" s="541">
        <f>J79-32</f>
        <v>40</v>
      </c>
      <c r="N79" s="303" t="s">
        <v>91</v>
      </c>
      <c r="O79" s="463">
        <v>3</v>
      </c>
      <c r="P79" s="407">
        <v>21</v>
      </c>
      <c r="Q79" s="292" t="s">
        <v>92</v>
      </c>
      <c r="R79" s="407">
        <v>21</v>
      </c>
      <c r="S79" s="410">
        <v>0</v>
      </c>
      <c r="T79" s="413">
        <v>0</v>
      </c>
      <c r="U79" s="413">
        <v>0</v>
      </c>
      <c r="V79" s="436">
        <v>0</v>
      </c>
      <c r="W79" s="433"/>
      <c r="X79" s="379">
        <f>S79/R79</f>
        <v>0</v>
      </c>
      <c r="Y79" s="342"/>
      <c r="Z79" s="342"/>
      <c r="AA79" s="597">
        <v>0</v>
      </c>
      <c r="AB79" s="601">
        <v>0</v>
      </c>
      <c r="AC79" s="601">
        <v>0</v>
      </c>
      <c r="AD79" s="583">
        <v>0</v>
      </c>
      <c r="AE79" s="328"/>
      <c r="AF79" s="239">
        <f>AB79/R79</f>
        <v>0</v>
      </c>
      <c r="AG79" s="239"/>
      <c r="AH79" s="236"/>
      <c r="AI79" s="385">
        <v>0</v>
      </c>
      <c r="AJ79" s="383">
        <v>0</v>
      </c>
      <c r="AK79" s="379">
        <f>AI79/R79</f>
        <v>0</v>
      </c>
      <c r="AL79" s="342"/>
      <c r="AM79" s="342"/>
      <c r="AN79" s="353">
        <v>0</v>
      </c>
      <c r="AO79" s="344">
        <v>0</v>
      </c>
      <c r="AP79" s="340">
        <f>AN79/R79</f>
        <v>0</v>
      </c>
      <c r="AQ79" s="342"/>
      <c r="AR79" s="342"/>
      <c r="AS79" s="351"/>
      <c r="AT79" s="327">
        <f>AW79/R79</f>
        <v>0</v>
      </c>
      <c r="AU79" s="328"/>
      <c r="AV79" s="328"/>
      <c r="AW79" s="267">
        <f>AN79+AI79+AA79</f>
        <v>0</v>
      </c>
      <c r="AX79" s="267">
        <f>AO79+AJ79+AB79</f>
        <v>0</v>
      </c>
      <c r="AY79" s="226">
        <f>AX79/R79</f>
        <v>0</v>
      </c>
      <c r="AZ79" s="227"/>
      <c r="BA79" s="230"/>
      <c r="BB79" s="230"/>
      <c r="BC79" s="305" t="s">
        <v>205</v>
      </c>
      <c r="BD79" s="367" t="s">
        <v>205</v>
      </c>
      <c r="BE79" s="367" t="s">
        <v>334</v>
      </c>
      <c r="BF79" s="292" t="s">
        <v>333</v>
      </c>
      <c r="BG79" s="659"/>
      <c r="BH79" s="541" t="s">
        <v>93</v>
      </c>
      <c r="BI79" s="604" t="s">
        <v>88</v>
      </c>
      <c r="BJ79" s="605"/>
      <c r="BK79" s="606"/>
      <c r="BL79" s="308"/>
      <c r="BM79" s="308"/>
      <c r="BN79" s="593"/>
      <c r="BO79" s="314"/>
      <c r="BP79" s="314"/>
      <c r="BQ79" s="281"/>
      <c r="BR79" s="617"/>
      <c r="BS79" s="617"/>
      <c r="BT79" s="648"/>
      <c r="BU79" s="314"/>
      <c r="BV79" s="314"/>
      <c r="BW79" s="281"/>
      <c r="BX79" s="314"/>
      <c r="BY79" s="314"/>
      <c r="BZ79" s="281"/>
      <c r="CA79" s="684"/>
      <c r="CB79" s="648"/>
      <c r="CC79" s="314"/>
      <c r="CD79" s="314"/>
      <c r="CE79" s="281"/>
      <c r="CF79" s="289"/>
      <c r="CG79" s="289"/>
      <c r="CH79" s="291"/>
      <c r="CI79" s="275"/>
      <c r="CJ79" s="278"/>
      <c r="CK79" s="281"/>
    </row>
    <row r="80" spans="4:89" ht="15" customHeight="1" x14ac:dyDescent="0.25">
      <c r="D80" s="461"/>
      <c r="E80" s="308"/>
      <c r="F80" s="308"/>
      <c r="G80" s="473"/>
      <c r="H80" s="308"/>
      <c r="I80" s="308"/>
      <c r="J80" s="397"/>
      <c r="K80" s="308"/>
      <c r="L80" s="542"/>
      <c r="M80" s="542"/>
      <c r="N80" s="308"/>
      <c r="O80" s="464"/>
      <c r="P80" s="408"/>
      <c r="Q80" s="293"/>
      <c r="R80" s="408"/>
      <c r="S80" s="411"/>
      <c r="T80" s="414"/>
      <c r="U80" s="414"/>
      <c r="V80" s="437"/>
      <c r="W80" s="433"/>
      <c r="X80" s="379"/>
      <c r="Y80" s="342"/>
      <c r="Z80" s="342"/>
      <c r="AA80" s="600"/>
      <c r="AB80" s="602"/>
      <c r="AC80" s="602"/>
      <c r="AD80" s="584"/>
      <c r="AE80" s="328"/>
      <c r="AF80" s="239"/>
      <c r="AG80" s="239"/>
      <c r="AH80" s="236"/>
      <c r="AI80" s="386"/>
      <c r="AJ80" s="383"/>
      <c r="AK80" s="379"/>
      <c r="AL80" s="342"/>
      <c r="AM80" s="342"/>
      <c r="AN80" s="354"/>
      <c r="AO80" s="344"/>
      <c r="AP80" s="340"/>
      <c r="AQ80" s="342"/>
      <c r="AR80" s="342"/>
      <c r="AS80" s="351"/>
      <c r="AT80" s="328"/>
      <c r="AU80" s="328"/>
      <c r="AV80" s="328"/>
      <c r="AW80" s="268"/>
      <c r="AX80" s="268"/>
      <c r="AY80" s="227"/>
      <c r="AZ80" s="227"/>
      <c r="BA80" s="230"/>
      <c r="BB80" s="230"/>
      <c r="BC80" s="306"/>
      <c r="BD80" s="367"/>
      <c r="BE80" s="367"/>
      <c r="BF80" s="293"/>
      <c r="BG80" s="659"/>
      <c r="BH80" s="542"/>
      <c r="BI80" s="607"/>
      <c r="BJ80" s="608"/>
      <c r="BK80" s="609"/>
      <c r="BL80" s="308"/>
      <c r="BM80" s="308"/>
      <c r="BN80" s="593"/>
      <c r="BO80" s="314"/>
      <c r="BP80" s="314"/>
      <c r="BQ80" s="281"/>
      <c r="BR80" s="617"/>
      <c r="BS80" s="617"/>
      <c r="BT80" s="648"/>
      <c r="BU80" s="314"/>
      <c r="BV80" s="314"/>
      <c r="BW80" s="281"/>
      <c r="BX80" s="314"/>
      <c r="BY80" s="314"/>
      <c r="BZ80" s="281"/>
      <c r="CA80" s="684"/>
      <c r="CB80" s="648"/>
      <c r="CC80" s="314"/>
      <c r="CD80" s="314"/>
      <c r="CE80" s="281"/>
      <c r="CF80" s="289"/>
      <c r="CG80" s="289"/>
      <c r="CH80" s="291"/>
      <c r="CI80" s="275"/>
      <c r="CJ80" s="278"/>
      <c r="CK80" s="281"/>
    </row>
    <row r="81" spans="4:90" ht="15" customHeight="1" x14ac:dyDescent="0.25">
      <c r="D81" s="461"/>
      <c r="E81" s="308"/>
      <c r="F81" s="308"/>
      <c r="G81" s="473"/>
      <c r="H81" s="308"/>
      <c r="I81" s="308"/>
      <c r="J81" s="397"/>
      <c r="K81" s="308"/>
      <c r="L81" s="542"/>
      <c r="M81" s="542"/>
      <c r="N81" s="308"/>
      <c r="O81" s="464"/>
      <c r="P81" s="408"/>
      <c r="Q81" s="293"/>
      <c r="R81" s="408"/>
      <c r="S81" s="411"/>
      <c r="T81" s="414"/>
      <c r="U81" s="414"/>
      <c r="V81" s="437"/>
      <c r="W81" s="433"/>
      <c r="X81" s="379"/>
      <c r="Y81" s="342"/>
      <c r="Z81" s="342"/>
      <c r="AA81" s="600"/>
      <c r="AB81" s="602"/>
      <c r="AC81" s="602"/>
      <c r="AD81" s="584"/>
      <c r="AE81" s="328"/>
      <c r="AF81" s="239"/>
      <c r="AG81" s="239"/>
      <c r="AH81" s="236"/>
      <c r="AI81" s="386"/>
      <c r="AJ81" s="383"/>
      <c r="AK81" s="379"/>
      <c r="AL81" s="342"/>
      <c r="AM81" s="342"/>
      <c r="AN81" s="354"/>
      <c r="AO81" s="344"/>
      <c r="AP81" s="340"/>
      <c r="AQ81" s="342"/>
      <c r="AR81" s="342"/>
      <c r="AS81" s="351"/>
      <c r="AT81" s="328"/>
      <c r="AU81" s="328"/>
      <c r="AV81" s="328"/>
      <c r="AW81" s="268"/>
      <c r="AX81" s="268"/>
      <c r="AY81" s="227"/>
      <c r="AZ81" s="227"/>
      <c r="BA81" s="230"/>
      <c r="BB81" s="230"/>
      <c r="BC81" s="306"/>
      <c r="BD81" s="367"/>
      <c r="BE81" s="367"/>
      <c r="BF81" s="293"/>
      <c r="BG81" s="659"/>
      <c r="BH81" s="542"/>
      <c r="BI81" s="607"/>
      <c r="BJ81" s="608"/>
      <c r="BK81" s="609"/>
      <c r="BL81" s="308"/>
      <c r="BM81" s="308"/>
      <c r="BN81" s="593"/>
      <c r="BO81" s="314"/>
      <c r="BP81" s="314"/>
      <c r="BQ81" s="281"/>
      <c r="BR81" s="617"/>
      <c r="BS81" s="617"/>
      <c r="BT81" s="648"/>
      <c r="BU81" s="314"/>
      <c r="BV81" s="314"/>
      <c r="BW81" s="281"/>
      <c r="BX81" s="314"/>
      <c r="BY81" s="314"/>
      <c r="BZ81" s="281"/>
      <c r="CA81" s="684"/>
      <c r="CB81" s="648"/>
      <c r="CC81" s="314"/>
      <c r="CD81" s="314"/>
      <c r="CE81" s="281"/>
      <c r="CF81" s="289"/>
      <c r="CG81" s="289"/>
      <c r="CH81" s="291"/>
      <c r="CI81" s="275"/>
      <c r="CJ81" s="278"/>
      <c r="CK81" s="281"/>
    </row>
    <row r="82" spans="4:90" ht="15" customHeight="1" x14ac:dyDescent="0.25">
      <c r="D82" s="461"/>
      <c r="E82" s="308"/>
      <c r="F82" s="308"/>
      <c r="G82" s="473"/>
      <c r="H82" s="308"/>
      <c r="I82" s="308"/>
      <c r="J82" s="397"/>
      <c r="K82" s="308"/>
      <c r="L82" s="542"/>
      <c r="M82" s="542"/>
      <c r="N82" s="308"/>
      <c r="O82" s="464"/>
      <c r="P82" s="408"/>
      <c r="Q82" s="293"/>
      <c r="R82" s="408"/>
      <c r="S82" s="411"/>
      <c r="T82" s="414"/>
      <c r="U82" s="414"/>
      <c r="V82" s="437"/>
      <c r="W82" s="433"/>
      <c r="X82" s="379"/>
      <c r="Y82" s="342"/>
      <c r="Z82" s="342"/>
      <c r="AA82" s="600"/>
      <c r="AB82" s="602"/>
      <c r="AC82" s="602"/>
      <c r="AD82" s="584"/>
      <c r="AE82" s="328"/>
      <c r="AF82" s="239"/>
      <c r="AG82" s="239"/>
      <c r="AH82" s="236"/>
      <c r="AI82" s="386"/>
      <c r="AJ82" s="383"/>
      <c r="AK82" s="379"/>
      <c r="AL82" s="342"/>
      <c r="AM82" s="342"/>
      <c r="AN82" s="354"/>
      <c r="AO82" s="344"/>
      <c r="AP82" s="340"/>
      <c r="AQ82" s="342"/>
      <c r="AR82" s="342"/>
      <c r="AS82" s="351"/>
      <c r="AT82" s="328"/>
      <c r="AU82" s="328"/>
      <c r="AV82" s="328"/>
      <c r="AW82" s="268"/>
      <c r="AX82" s="268"/>
      <c r="AY82" s="227"/>
      <c r="AZ82" s="227"/>
      <c r="BA82" s="230"/>
      <c r="BB82" s="230"/>
      <c r="BC82" s="306"/>
      <c r="BD82" s="367"/>
      <c r="BE82" s="367"/>
      <c r="BF82" s="293"/>
      <c r="BG82" s="659"/>
      <c r="BH82" s="542"/>
      <c r="BI82" s="610"/>
      <c r="BJ82" s="611"/>
      <c r="BK82" s="612"/>
      <c r="BL82" s="308"/>
      <c r="BM82" s="308"/>
      <c r="BN82" s="593"/>
      <c r="BO82" s="314"/>
      <c r="BP82" s="314"/>
      <c r="BQ82" s="281"/>
      <c r="BR82" s="617"/>
      <c r="BS82" s="617"/>
      <c r="BT82" s="648"/>
      <c r="BU82" s="314"/>
      <c r="BV82" s="314"/>
      <c r="BW82" s="281"/>
      <c r="BX82" s="314"/>
      <c r="BY82" s="314"/>
      <c r="BZ82" s="281"/>
      <c r="CA82" s="684"/>
      <c r="CB82" s="648"/>
      <c r="CC82" s="314"/>
      <c r="CD82" s="314"/>
      <c r="CE82" s="281"/>
      <c r="CF82" s="289"/>
      <c r="CG82" s="289"/>
      <c r="CH82" s="291"/>
      <c r="CI82" s="275"/>
      <c r="CJ82" s="278"/>
      <c r="CK82" s="281"/>
    </row>
    <row r="83" spans="4:90" ht="15" customHeight="1" x14ac:dyDescent="0.25">
      <c r="D83" s="461"/>
      <c r="E83" s="308"/>
      <c r="F83" s="308"/>
      <c r="G83" s="473"/>
      <c r="H83" s="308"/>
      <c r="I83" s="308"/>
      <c r="J83" s="397"/>
      <c r="K83" s="308"/>
      <c r="L83" s="542"/>
      <c r="M83" s="542"/>
      <c r="N83" s="308"/>
      <c r="O83" s="464"/>
      <c r="P83" s="408"/>
      <c r="Q83" s="293"/>
      <c r="R83" s="408"/>
      <c r="S83" s="411"/>
      <c r="T83" s="414"/>
      <c r="U83" s="414"/>
      <c r="V83" s="437"/>
      <c r="W83" s="433"/>
      <c r="X83" s="379"/>
      <c r="Y83" s="342"/>
      <c r="Z83" s="342"/>
      <c r="AA83" s="600"/>
      <c r="AB83" s="602"/>
      <c r="AC83" s="602"/>
      <c r="AD83" s="584"/>
      <c r="AE83" s="328"/>
      <c r="AF83" s="239"/>
      <c r="AG83" s="239"/>
      <c r="AH83" s="236"/>
      <c r="AI83" s="386"/>
      <c r="AJ83" s="383"/>
      <c r="AK83" s="379"/>
      <c r="AL83" s="342"/>
      <c r="AM83" s="342"/>
      <c r="AN83" s="354"/>
      <c r="AO83" s="344"/>
      <c r="AP83" s="340"/>
      <c r="AQ83" s="342"/>
      <c r="AR83" s="342"/>
      <c r="AS83" s="351"/>
      <c r="AT83" s="328"/>
      <c r="AU83" s="328"/>
      <c r="AV83" s="328"/>
      <c r="AW83" s="268"/>
      <c r="AX83" s="268"/>
      <c r="AY83" s="227"/>
      <c r="AZ83" s="227"/>
      <c r="BA83" s="230"/>
      <c r="BB83" s="230"/>
      <c r="BC83" s="306"/>
      <c r="BD83" s="367"/>
      <c r="BE83" s="367"/>
      <c r="BF83" s="293"/>
      <c r="BG83" s="659"/>
      <c r="BH83" s="542"/>
      <c r="BI83" s="604" t="s">
        <v>94</v>
      </c>
      <c r="BJ83" s="605"/>
      <c r="BK83" s="606"/>
      <c r="BL83" s="308"/>
      <c r="BM83" s="308"/>
      <c r="BN83" s="593"/>
      <c r="BO83" s="314"/>
      <c r="BP83" s="314"/>
      <c r="BQ83" s="281"/>
      <c r="BR83" s="617"/>
      <c r="BS83" s="617"/>
      <c r="BT83" s="648"/>
      <c r="BU83" s="314"/>
      <c r="BV83" s="314"/>
      <c r="BW83" s="281"/>
      <c r="BX83" s="314"/>
      <c r="BY83" s="314"/>
      <c r="BZ83" s="281"/>
      <c r="CA83" s="684"/>
      <c r="CB83" s="648"/>
      <c r="CC83" s="314"/>
      <c r="CD83" s="314"/>
      <c r="CE83" s="281"/>
      <c r="CF83" s="289"/>
      <c r="CG83" s="289"/>
      <c r="CH83" s="291"/>
      <c r="CI83" s="275"/>
      <c r="CJ83" s="278"/>
      <c r="CK83" s="281"/>
    </row>
    <row r="84" spans="4:90" ht="72" customHeight="1" x14ac:dyDescent="0.25">
      <c r="D84" s="461"/>
      <c r="E84" s="308"/>
      <c r="F84" s="304"/>
      <c r="G84" s="474"/>
      <c r="H84" s="304"/>
      <c r="I84" s="304"/>
      <c r="J84" s="398"/>
      <c r="K84" s="304"/>
      <c r="L84" s="543"/>
      <c r="M84" s="543"/>
      <c r="N84" s="304"/>
      <c r="O84" s="465"/>
      <c r="P84" s="409"/>
      <c r="Q84" s="294"/>
      <c r="R84" s="409"/>
      <c r="S84" s="412"/>
      <c r="T84" s="415"/>
      <c r="U84" s="415"/>
      <c r="V84" s="438"/>
      <c r="W84" s="434"/>
      <c r="X84" s="379"/>
      <c r="Y84" s="343"/>
      <c r="Z84" s="342"/>
      <c r="AA84" s="598"/>
      <c r="AB84" s="603"/>
      <c r="AC84" s="603"/>
      <c r="AD84" s="585"/>
      <c r="AE84" s="329"/>
      <c r="AF84" s="239"/>
      <c r="AG84" s="239"/>
      <c r="AH84" s="236"/>
      <c r="AI84" s="387"/>
      <c r="AJ84" s="383"/>
      <c r="AK84" s="379"/>
      <c r="AL84" s="343"/>
      <c r="AM84" s="343"/>
      <c r="AN84" s="355"/>
      <c r="AO84" s="344"/>
      <c r="AP84" s="340"/>
      <c r="AQ84" s="343"/>
      <c r="AR84" s="343"/>
      <c r="AS84" s="351"/>
      <c r="AT84" s="329"/>
      <c r="AU84" s="329"/>
      <c r="AV84" s="328"/>
      <c r="AW84" s="269"/>
      <c r="AX84" s="269"/>
      <c r="AY84" s="228"/>
      <c r="AZ84" s="228"/>
      <c r="BA84" s="231"/>
      <c r="BB84" s="230"/>
      <c r="BC84" s="307"/>
      <c r="BD84" s="367"/>
      <c r="BE84" s="367"/>
      <c r="BF84" s="294"/>
      <c r="BG84" s="660"/>
      <c r="BH84" s="543"/>
      <c r="BI84" s="610"/>
      <c r="BJ84" s="611"/>
      <c r="BK84" s="612"/>
      <c r="BL84" s="304"/>
      <c r="BM84" s="304"/>
      <c r="BN84" s="594"/>
      <c r="BO84" s="315"/>
      <c r="BP84" s="315"/>
      <c r="BQ84" s="282"/>
      <c r="BR84" s="618"/>
      <c r="BS84" s="618"/>
      <c r="BT84" s="649"/>
      <c r="BU84" s="315"/>
      <c r="BV84" s="315"/>
      <c r="BW84" s="282"/>
      <c r="BX84" s="315"/>
      <c r="BY84" s="315"/>
      <c r="BZ84" s="282"/>
      <c r="CA84" s="685"/>
      <c r="CB84" s="649"/>
      <c r="CC84" s="315"/>
      <c r="CD84" s="315"/>
      <c r="CE84" s="282"/>
      <c r="CF84" s="290"/>
      <c r="CG84" s="290"/>
      <c r="CH84" s="287"/>
      <c r="CI84" s="276"/>
      <c r="CJ84" s="279"/>
      <c r="CK84" s="282"/>
    </row>
    <row r="85" spans="4:90" ht="234.75" customHeight="1" x14ac:dyDescent="0.25">
      <c r="D85" s="461"/>
      <c r="E85" s="308"/>
      <c r="F85" s="463" t="s">
        <v>95</v>
      </c>
      <c r="G85" s="303" t="s">
        <v>96</v>
      </c>
      <c r="H85" s="303" t="s">
        <v>97</v>
      </c>
      <c r="I85" s="303" t="s">
        <v>98</v>
      </c>
      <c r="J85" s="419">
        <v>40000</v>
      </c>
      <c r="K85" s="303" t="s">
        <v>98</v>
      </c>
      <c r="L85" s="509">
        <v>29378</v>
      </c>
      <c r="M85" s="509">
        <f>J85-29378</f>
        <v>10622</v>
      </c>
      <c r="N85" s="303" t="s">
        <v>99</v>
      </c>
      <c r="O85" s="419">
        <v>8599</v>
      </c>
      <c r="P85" s="553">
        <v>2655</v>
      </c>
      <c r="Q85" s="22" t="s">
        <v>100</v>
      </c>
      <c r="R85" s="138">
        <v>600</v>
      </c>
      <c r="S85" s="548">
        <f>T86+T91</f>
        <v>1767</v>
      </c>
      <c r="T85" s="128">
        <v>0</v>
      </c>
      <c r="U85" s="128">
        <v>0</v>
      </c>
      <c r="V85" s="436">
        <f>S85/P85</f>
        <v>0.66553672316384183</v>
      </c>
      <c r="W85" s="566">
        <f>(V85+V93+V99)/3</f>
        <v>0.23727767315337936</v>
      </c>
      <c r="X85" s="199">
        <f>T85/R85</f>
        <v>0</v>
      </c>
      <c r="Y85" s="529">
        <f>(X85+X86+X87+X88+X89+X90+X91+X92+X93+X96+X97+X98+X99)/13</f>
        <v>0.10690173777823181</v>
      </c>
      <c r="Z85" s="342"/>
      <c r="AA85" s="639">
        <f>AB85+AB86+AB91</f>
        <v>11206</v>
      </c>
      <c r="AB85" s="114">
        <v>210</v>
      </c>
      <c r="AC85" s="114">
        <v>0</v>
      </c>
      <c r="AD85" s="583">
        <v>1</v>
      </c>
      <c r="AE85" s="680">
        <f>(AD85+AD93)/2</f>
        <v>0.76988165025992705</v>
      </c>
      <c r="AF85" s="116">
        <f>AB85/R85</f>
        <v>0.35</v>
      </c>
      <c r="AG85" s="667">
        <f>(AF85+AF86+AF87+AF88+AF89+AF90+AF91+AF92+AF93+AF96+AF97+AF98+AF99)/13</f>
        <v>0.26777490806906284</v>
      </c>
      <c r="AH85" s="236"/>
      <c r="AI85" s="380">
        <v>206</v>
      </c>
      <c r="AJ85" s="160">
        <v>206</v>
      </c>
      <c r="AK85" s="196">
        <f t="shared" ref="AK85:AK93" si="0">AJ85/R85</f>
        <v>0.34333333333333332</v>
      </c>
      <c r="AL85" s="341">
        <f>(AK85+AK86-AK87-AK88+AK89+AK90+AK91+AK92)/8</f>
        <v>4.2916666666666665E-2</v>
      </c>
      <c r="AM85" s="379">
        <f>(AL85+AL93)/2</f>
        <v>4.9803140676699761E-2</v>
      </c>
      <c r="AN85" s="336">
        <f>(AO85+AO86+AO87+AO88+AO89+AO90+AO91+AO92)</f>
        <v>1790</v>
      </c>
      <c r="AO85" s="175">
        <v>380</v>
      </c>
      <c r="AP85" s="176">
        <f>380/R85</f>
        <v>0.6333333333333333</v>
      </c>
      <c r="AQ85" s="341">
        <f>(AP85+AP86+AP87+AP88+AP89+AP90+AP91+AP92)/8</f>
        <v>0.51666666666666661</v>
      </c>
      <c r="AR85" s="350">
        <f>(AQ85+AQ93+AQ99)/3</f>
        <v>0.25402124026043332</v>
      </c>
      <c r="AS85" s="351"/>
      <c r="AT85" s="327">
        <v>1</v>
      </c>
      <c r="AU85" s="333">
        <f>(AT85+AT93+AT99)/3</f>
        <v>0.75005632775790954</v>
      </c>
      <c r="AV85" s="328"/>
      <c r="AW85" s="242">
        <f>AX85+AX86+AX87+AX88+AX89+AX90+AX91+AX92</f>
        <v>13202</v>
      </c>
      <c r="AX85" s="207">
        <f t="shared" ref="AX85:AX92" si="1">AO85+AJ85+AB85</f>
        <v>796</v>
      </c>
      <c r="AY85" s="130">
        <v>1</v>
      </c>
      <c r="AZ85" s="226">
        <f>(AY92+AY91+AY90+AY89+AY88+AY87+AY86+AY85)/8</f>
        <v>0.77146414342629477</v>
      </c>
      <c r="BA85" s="229">
        <f>(AZ99+AZ93+AZ85)/3</f>
        <v>0.64429581811509429</v>
      </c>
      <c r="BB85" s="230"/>
      <c r="BC85" s="45" t="s">
        <v>183</v>
      </c>
      <c r="BD85" s="57" t="s">
        <v>233</v>
      </c>
      <c r="BE85" s="86" t="s">
        <v>279</v>
      </c>
      <c r="BF85" s="94" t="s">
        <v>323</v>
      </c>
      <c r="BG85" s="545" t="s">
        <v>101</v>
      </c>
      <c r="BH85" s="21" t="s">
        <v>102</v>
      </c>
      <c r="BI85" s="520" t="s">
        <v>31</v>
      </c>
      <c r="BJ85" s="521"/>
      <c r="BK85" s="522"/>
      <c r="BL85" s="303" t="s">
        <v>103</v>
      </c>
      <c r="BM85" s="475" t="s">
        <v>294</v>
      </c>
      <c r="BN85" s="592">
        <v>157500000</v>
      </c>
      <c r="BO85" s="393">
        <v>157500000</v>
      </c>
      <c r="BP85" s="388">
        <v>0</v>
      </c>
      <c r="BQ85" s="280">
        <f>BP85/BO85</f>
        <v>0</v>
      </c>
      <c r="BR85" s="664">
        <v>5600965440</v>
      </c>
      <c r="BS85" s="616">
        <v>648718900</v>
      </c>
      <c r="BT85" s="653">
        <f>BS85/BR85</f>
        <v>0.11582269288203285</v>
      </c>
      <c r="BU85" s="393">
        <v>107500000</v>
      </c>
      <c r="BV85" s="313">
        <v>0</v>
      </c>
      <c r="BW85" s="280">
        <f>BV85/BU85</f>
        <v>0</v>
      </c>
      <c r="BX85" s="393"/>
      <c r="BY85" s="388"/>
      <c r="BZ85" s="280"/>
      <c r="CA85" s="696"/>
      <c r="CB85" s="653"/>
      <c r="CC85" s="393">
        <v>100000000</v>
      </c>
      <c r="CD85" s="313">
        <v>0</v>
      </c>
      <c r="CE85" s="280">
        <f>CD85/CC85</f>
        <v>0</v>
      </c>
      <c r="CF85" s="323">
        <v>489000000</v>
      </c>
      <c r="CG85" s="288">
        <v>488600000</v>
      </c>
      <c r="CH85" s="286">
        <f>CG85/CF85</f>
        <v>0.99918200408997959</v>
      </c>
      <c r="CI85" s="274">
        <v>6262329285</v>
      </c>
      <c r="CJ85" s="277">
        <v>5899810321</v>
      </c>
      <c r="CK85" s="280">
        <f>CJ85/CI85</f>
        <v>0.94211116223665647</v>
      </c>
    </row>
    <row r="86" spans="4:90" ht="201.75" customHeight="1" x14ac:dyDescent="0.25">
      <c r="D86" s="461"/>
      <c r="E86" s="308"/>
      <c r="F86" s="464"/>
      <c r="G86" s="308"/>
      <c r="H86" s="308"/>
      <c r="I86" s="308"/>
      <c r="J86" s="308"/>
      <c r="K86" s="308"/>
      <c r="L86" s="397"/>
      <c r="M86" s="397"/>
      <c r="N86" s="308"/>
      <c r="O86" s="507"/>
      <c r="P86" s="554"/>
      <c r="Q86" s="22" t="s">
        <v>104</v>
      </c>
      <c r="R86" s="138">
        <v>100</v>
      </c>
      <c r="S86" s="548"/>
      <c r="T86" s="66">
        <v>1336</v>
      </c>
      <c r="U86" s="66">
        <v>1336</v>
      </c>
      <c r="V86" s="437"/>
      <c r="W86" s="567"/>
      <c r="X86" s="199">
        <v>1</v>
      </c>
      <c r="Y86" s="530"/>
      <c r="Z86" s="342"/>
      <c r="AA86" s="639"/>
      <c r="AB86" s="117">
        <v>10153</v>
      </c>
      <c r="AC86" s="117">
        <f>6817+2000</f>
        <v>8817</v>
      </c>
      <c r="AD86" s="584"/>
      <c r="AE86" s="681"/>
      <c r="AF86" s="116">
        <v>1</v>
      </c>
      <c r="AG86" s="668"/>
      <c r="AH86" s="236"/>
      <c r="AI86" s="381"/>
      <c r="AJ86" s="161">
        <v>0</v>
      </c>
      <c r="AK86" s="195">
        <f t="shared" si="0"/>
        <v>0</v>
      </c>
      <c r="AL86" s="342"/>
      <c r="AM86" s="379"/>
      <c r="AN86" s="337"/>
      <c r="AO86" s="177">
        <v>0</v>
      </c>
      <c r="AP86" s="173">
        <f>AO86/R86</f>
        <v>0</v>
      </c>
      <c r="AQ86" s="342"/>
      <c r="AR86" s="351"/>
      <c r="AS86" s="351"/>
      <c r="AT86" s="328"/>
      <c r="AU86" s="334"/>
      <c r="AV86" s="328"/>
      <c r="AW86" s="242"/>
      <c r="AX86" s="207">
        <f t="shared" si="1"/>
        <v>10153</v>
      </c>
      <c r="AY86" s="134">
        <v>1</v>
      </c>
      <c r="AZ86" s="227"/>
      <c r="BA86" s="230"/>
      <c r="BB86" s="230"/>
      <c r="BC86" s="47" t="s">
        <v>197</v>
      </c>
      <c r="BD86" s="47" t="s">
        <v>245</v>
      </c>
      <c r="BE86" s="47" t="s">
        <v>344</v>
      </c>
      <c r="BF86" s="47" t="s">
        <v>345</v>
      </c>
      <c r="BG86" s="546"/>
      <c r="BH86" s="303" t="s">
        <v>105</v>
      </c>
      <c r="BI86" s="523"/>
      <c r="BJ86" s="524"/>
      <c r="BK86" s="525"/>
      <c r="BL86" s="308"/>
      <c r="BM86" s="475"/>
      <c r="BN86" s="593"/>
      <c r="BO86" s="394"/>
      <c r="BP86" s="389"/>
      <c r="BQ86" s="281"/>
      <c r="BR86" s="665"/>
      <c r="BS86" s="617"/>
      <c r="BT86" s="654"/>
      <c r="BU86" s="394"/>
      <c r="BV86" s="314"/>
      <c r="BW86" s="281"/>
      <c r="BX86" s="394"/>
      <c r="BY86" s="389"/>
      <c r="BZ86" s="281"/>
      <c r="CA86" s="697"/>
      <c r="CB86" s="654"/>
      <c r="CC86" s="394"/>
      <c r="CD86" s="314"/>
      <c r="CE86" s="281"/>
      <c r="CF86" s="324"/>
      <c r="CG86" s="289"/>
      <c r="CH86" s="291"/>
      <c r="CI86" s="275"/>
      <c r="CJ86" s="278"/>
      <c r="CK86" s="281"/>
    </row>
    <row r="87" spans="4:90" ht="72.75" customHeight="1" x14ac:dyDescent="0.25">
      <c r="D87" s="461"/>
      <c r="E87" s="308"/>
      <c r="F87" s="464"/>
      <c r="G87" s="308"/>
      <c r="H87" s="308"/>
      <c r="I87" s="308"/>
      <c r="J87" s="308"/>
      <c r="K87" s="308"/>
      <c r="L87" s="397"/>
      <c r="M87" s="397"/>
      <c r="N87" s="308"/>
      <c r="O87" s="507"/>
      <c r="P87" s="554"/>
      <c r="Q87" s="22" t="s">
        <v>106</v>
      </c>
      <c r="R87" s="138">
        <v>100</v>
      </c>
      <c r="S87" s="548"/>
      <c r="T87" s="128">
        <v>0</v>
      </c>
      <c r="U87" s="128">
        <v>0</v>
      </c>
      <c r="V87" s="437"/>
      <c r="W87" s="567"/>
      <c r="X87" s="199">
        <f t="shared" ref="X87:X93" si="2">T87/R87</f>
        <v>0</v>
      </c>
      <c r="Y87" s="530"/>
      <c r="Z87" s="342"/>
      <c r="AA87" s="639"/>
      <c r="AB87" s="114">
        <v>0</v>
      </c>
      <c r="AC87" s="114">
        <v>0</v>
      </c>
      <c r="AD87" s="584"/>
      <c r="AE87" s="681"/>
      <c r="AF87" s="116">
        <f t="shared" ref="AF87:AF92" si="3">AB87/R87</f>
        <v>0</v>
      </c>
      <c r="AG87" s="668"/>
      <c r="AH87" s="236"/>
      <c r="AI87" s="381"/>
      <c r="AJ87" s="123">
        <v>0</v>
      </c>
      <c r="AK87" s="195">
        <f t="shared" si="0"/>
        <v>0</v>
      </c>
      <c r="AL87" s="342"/>
      <c r="AM87" s="379"/>
      <c r="AN87" s="337"/>
      <c r="AO87" s="172">
        <v>400</v>
      </c>
      <c r="AP87" s="173">
        <v>1</v>
      </c>
      <c r="AQ87" s="342"/>
      <c r="AR87" s="351"/>
      <c r="AS87" s="351"/>
      <c r="AT87" s="328"/>
      <c r="AU87" s="334"/>
      <c r="AV87" s="328"/>
      <c r="AW87" s="242"/>
      <c r="AX87" s="207">
        <f t="shared" si="1"/>
        <v>400</v>
      </c>
      <c r="AY87" s="134">
        <v>1</v>
      </c>
      <c r="AZ87" s="227"/>
      <c r="BA87" s="230"/>
      <c r="BB87" s="230"/>
      <c r="BC87" s="46" t="s">
        <v>229</v>
      </c>
      <c r="BD87" s="56" t="s">
        <v>230</v>
      </c>
      <c r="BE87" s="99" t="s">
        <v>280</v>
      </c>
      <c r="BF87" s="92" t="s">
        <v>325</v>
      </c>
      <c r="BG87" s="546"/>
      <c r="BH87" s="308"/>
      <c r="BI87" s="523"/>
      <c r="BJ87" s="524"/>
      <c r="BK87" s="525"/>
      <c r="BL87" s="308"/>
      <c r="BM87" s="475"/>
      <c r="BN87" s="593"/>
      <c r="BO87" s="394"/>
      <c r="BP87" s="389"/>
      <c r="BQ87" s="281"/>
      <c r="BR87" s="665"/>
      <c r="BS87" s="617"/>
      <c r="BT87" s="654"/>
      <c r="BU87" s="394"/>
      <c r="BV87" s="314"/>
      <c r="BW87" s="281"/>
      <c r="BX87" s="394"/>
      <c r="BY87" s="389"/>
      <c r="BZ87" s="281"/>
      <c r="CA87" s="697"/>
      <c r="CB87" s="654"/>
      <c r="CC87" s="394"/>
      <c r="CD87" s="314"/>
      <c r="CE87" s="281"/>
      <c r="CF87" s="324"/>
      <c r="CG87" s="289"/>
      <c r="CH87" s="291"/>
      <c r="CI87" s="275"/>
      <c r="CJ87" s="278"/>
      <c r="CK87" s="281"/>
    </row>
    <row r="88" spans="4:90" ht="106.5" customHeight="1" x14ac:dyDescent="0.25">
      <c r="D88" s="461"/>
      <c r="E88" s="308"/>
      <c r="F88" s="464"/>
      <c r="G88" s="308"/>
      <c r="H88" s="308"/>
      <c r="I88" s="308"/>
      <c r="J88" s="308"/>
      <c r="K88" s="308"/>
      <c r="L88" s="397"/>
      <c r="M88" s="397"/>
      <c r="N88" s="308"/>
      <c r="O88" s="507"/>
      <c r="P88" s="554"/>
      <c r="Q88" s="22" t="s">
        <v>107</v>
      </c>
      <c r="R88" s="138">
        <v>100</v>
      </c>
      <c r="S88" s="548"/>
      <c r="T88" s="128">
        <v>0</v>
      </c>
      <c r="U88" s="128">
        <v>0</v>
      </c>
      <c r="V88" s="437"/>
      <c r="W88" s="567"/>
      <c r="X88" s="199">
        <f t="shared" si="2"/>
        <v>0</v>
      </c>
      <c r="Y88" s="530"/>
      <c r="Z88" s="342"/>
      <c r="AA88" s="639"/>
      <c r="AB88" s="114">
        <v>0</v>
      </c>
      <c r="AC88" s="114">
        <v>0</v>
      </c>
      <c r="AD88" s="584"/>
      <c r="AE88" s="681"/>
      <c r="AF88" s="116">
        <f t="shared" si="3"/>
        <v>0</v>
      </c>
      <c r="AG88" s="668"/>
      <c r="AH88" s="236"/>
      <c r="AI88" s="381"/>
      <c r="AJ88" s="123">
        <v>0</v>
      </c>
      <c r="AK88" s="195">
        <f t="shared" si="0"/>
        <v>0</v>
      </c>
      <c r="AL88" s="342"/>
      <c r="AM88" s="379"/>
      <c r="AN88" s="337"/>
      <c r="AO88" s="172">
        <v>0</v>
      </c>
      <c r="AP88" s="173">
        <f>0/R88</f>
        <v>0</v>
      </c>
      <c r="AQ88" s="342"/>
      <c r="AR88" s="351"/>
      <c r="AS88" s="351"/>
      <c r="AT88" s="328"/>
      <c r="AU88" s="334"/>
      <c r="AV88" s="328"/>
      <c r="AW88" s="242"/>
      <c r="AX88" s="207">
        <f t="shared" si="1"/>
        <v>0</v>
      </c>
      <c r="AY88" s="134">
        <f>AX88/R88</f>
        <v>0</v>
      </c>
      <c r="AZ88" s="227"/>
      <c r="BA88" s="230"/>
      <c r="BB88" s="230"/>
      <c r="BC88" s="46" t="s">
        <v>184</v>
      </c>
      <c r="BD88" s="56" t="s">
        <v>230</v>
      </c>
      <c r="BE88" s="99" t="s">
        <v>280</v>
      </c>
      <c r="BF88" s="75" t="s">
        <v>335</v>
      </c>
      <c r="BG88" s="546"/>
      <c r="BH88" s="308"/>
      <c r="BI88" s="523"/>
      <c r="BJ88" s="524"/>
      <c r="BK88" s="525"/>
      <c r="BL88" s="308"/>
      <c r="BM88" s="475"/>
      <c r="BN88" s="593"/>
      <c r="BO88" s="394"/>
      <c r="BP88" s="389"/>
      <c r="BQ88" s="281"/>
      <c r="BR88" s="665"/>
      <c r="BS88" s="617"/>
      <c r="BT88" s="654"/>
      <c r="BU88" s="394"/>
      <c r="BV88" s="314"/>
      <c r="BW88" s="281"/>
      <c r="BX88" s="394"/>
      <c r="BY88" s="389"/>
      <c r="BZ88" s="281"/>
      <c r="CA88" s="697"/>
      <c r="CB88" s="654"/>
      <c r="CC88" s="394"/>
      <c r="CD88" s="314"/>
      <c r="CE88" s="281"/>
      <c r="CF88" s="324"/>
      <c r="CG88" s="289"/>
      <c r="CH88" s="291"/>
      <c r="CI88" s="275"/>
      <c r="CJ88" s="278"/>
      <c r="CK88" s="281"/>
    </row>
    <row r="89" spans="4:90" ht="81.75" customHeight="1" x14ac:dyDescent="0.25">
      <c r="D89" s="461"/>
      <c r="E89" s="308"/>
      <c r="F89" s="464"/>
      <c r="G89" s="308"/>
      <c r="H89" s="308"/>
      <c r="I89" s="308"/>
      <c r="J89" s="308"/>
      <c r="K89" s="308"/>
      <c r="L89" s="397"/>
      <c r="M89" s="397"/>
      <c r="N89" s="308"/>
      <c r="O89" s="507"/>
      <c r="P89" s="554"/>
      <c r="Q89" s="22" t="s">
        <v>108</v>
      </c>
      <c r="R89" s="138">
        <v>200</v>
      </c>
      <c r="S89" s="548"/>
      <c r="T89" s="128">
        <v>0</v>
      </c>
      <c r="U89" s="128">
        <v>0</v>
      </c>
      <c r="V89" s="437"/>
      <c r="W89" s="567"/>
      <c r="X89" s="199">
        <f t="shared" si="2"/>
        <v>0</v>
      </c>
      <c r="Y89" s="530"/>
      <c r="Z89" s="342"/>
      <c r="AA89" s="639"/>
      <c r="AB89" s="114">
        <v>0</v>
      </c>
      <c r="AC89" s="114">
        <v>0</v>
      </c>
      <c r="AD89" s="584"/>
      <c r="AE89" s="681"/>
      <c r="AF89" s="116">
        <f t="shared" si="3"/>
        <v>0</v>
      </c>
      <c r="AG89" s="668"/>
      <c r="AH89" s="236"/>
      <c r="AI89" s="381"/>
      <c r="AJ89" s="123">
        <v>0</v>
      </c>
      <c r="AK89" s="195">
        <f t="shared" si="0"/>
        <v>0</v>
      </c>
      <c r="AL89" s="342"/>
      <c r="AM89" s="379"/>
      <c r="AN89" s="337"/>
      <c r="AO89" s="172">
        <v>550</v>
      </c>
      <c r="AP89" s="173">
        <v>1</v>
      </c>
      <c r="AQ89" s="342"/>
      <c r="AR89" s="351"/>
      <c r="AS89" s="351"/>
      <c r="AT89" s="328"/>
      <c r="AU89" s="334"/>
      <c r="AV89" s="328"/>
      <c r="AW89" s="242"/>
      <c r="AX89" s="207">
        <f t="shared" si="1"/>
        <v>550</v>
      </c>
      <c r="AY89" s="134">
        <v>1</v>
      </c>
      <c r="AZ89" s="227"/>
      <c r="BA89" s="230"/>
      <c r="BB89" s="230"/>
      <c r="BC89" s="46" t="s">
        <v>184</v>
      </c>
      <c r="BD89" s="56" t="s">
        <v>230</v>
      </c>
      <c r="BE89" s="99" t="s">
        <v>280</v>
      </c>
      <c r="BF89" s="92" t="s">
        <v>314</v>
      </c>
      <c r="BG89" s="546"/>
      <c r="BH89" s="308"/>
      <c r="BI89" s="523"/>
      <c r="BJ89" s="524"/>
      <c r="BK89" s="525"/>
      <c r="BL89" s="308"/>
      <c r="BM89" s="475"/>
      <c r="BN89" s="593"/>
      <c r="BO89" s="394"/>
      <c r="BP89" s="389"/>
      <c r="BQ89" s="281"/>
      <c r="BR89" s="665"/>
      <c r="BS89" s="617"/>
      <c r="BT89" s="654"/>
      <c r="BU89" s="394"/>
      <c r="BV89" s="314"/>
      <c r="BW89" s="281"/>
      <c r="BX89" s="394"/>
      <c r="BY89" s="389"/>
      <c r="BZ89" s="281"/>
      <c r="CA89" s="697"/>
      <c r="CB89" s="654"/>
      <c r="CC89" s="394"/>
      <c r="CD89" s="314"/>
      <c r="CE89" s="281"/>
      <c r="CF89" s="324"/>
      <c r="CG89" s="289"/>
      <c r="CH89" s="291"/>
      <c r="CI89" s="275"/>
      <c r="CJ89" s="278"/>
      <c r="CK89" s="281"/>
    </row>
    <row r="90" spans="4:90" ht="95.25" customHeight="1" x14ac:dyDescent="0.25">
      <c r="D90" s="461"/>
      <c r="E90" s="308"/>
      <c r="F90" s="464"/>
      <c r="G90" s="308"/>
      <c r="H90" s="308"/>
      <c r="I90" s="308"/>
      <c r="J90" s="308"/>
      <c r="K90" s="308"/>
      <c r="L90" s="397"/>
      <c r="M90" s="397"/>
      <c r="N90" s="308"/>
      <c r="O90" s="507"/>
      <c r="P90" s="554"/>
      <c r="Q90" s="22" t="s">
        <v>109</v>
      </c>
      <c r="R90" s="138">
        <v>200</v>
      </c>
      <c r="S90" s="548"/>
      <c r="T90" s="128">
        <v>0</v>
      </c>
      <c r="U90" s="128">
        <v>0</v>
      </c>
      <c r="V90" s="437"/>
      <c r="W90" s="567"/>
      <c r="X90" s="199">
        <f t="shared" si="2"/>
        <v>0</v>
      </c>
      <c r="Y90" s="530"/>
      <c r="Z90" s="342"/>
      <c r="AA90" s="639"/>
      <c r="AB90" s="114">
        <v>0</v>
      </c>
      <c r="AC90" s="114">
        <v>0</v>
      </c>
      <c r="AD90" s="584"/>
      <c r="AE90" s="681"/>
      <c r="AF90" s="116">
        <f t="shared" si="3"/>
        <v>0</v>
      </c>
      <c r="AG90" s="668"/>
      <c r="AH90" s="236"/>
      <c r="AI90" s="381"/>
      <c r="AJ90" s="123">
        <v>0</v>
      </c>
      <c r="AK90" s="195">
        <f t="shared" si="0"/>
        <v>0</v>
      </c>
      <c r="AL90" s="342"/>
      <c r="AM90" s="379"/>
      <c r="AN90" s="337"/>
      <c r="AO90" s="172">
        <v>410</v>
      </c>
      <c r="AP90" s="173">
        <v>1</v>
      </c>
      <c r="AQ90" s="342"/>
      <c r="AR90" s="351"/>
      <c r="AS90" s="351"/>
      <c r="AT90" s="328"/>
      <c r="AU90" s="334"/>
      <c r="AV90" s="328"/>
      <c r="AW90" s="242"/>
      <c r="AX90" s="207">
        <f t="shared" si="1"/>
        <v>410</v>
      </c>
      <c r="AY90" s="134">
        <v>1</v>
      </c>
      <c r="AZ90" s="227"/>
      <c r="BA90" s="230"/>
      <c r="BB90" s="230"/>
      <c r="BC90" s="46" t="s">
        <v>185</v>
      </c>
      <c r="BD90" s="56" t="s">
        <v>231</v>
      </c>
      <c r="BE90" s="99" t="s">
        <v>280</v>
      </c>
      <c r="BF90" s="92" t="s">
        <v>315</v>
      </c>
      <c r="BG90" s="546"/>
      <c r="BH90" s="308"/>
      <c r="BI90" s="523"/>
      <c r="BJ90" s="524"/>
      <c r="BK90" s="525"/>
      <c r="BL90" s="308"/>
      <c r="BM90" s="475"/>
      <c r="BN90" s="593"/>
      <c r="BO90" s="394"/>
      <c r="BP90" s="389"/>
      <c r="BQ90" s="281"/>
      <c r="BR90" s="665"/>
      <c r="BS90" s="617"/>
      <c r="BT90" s="654"/>
      <c r="BU90" s="394"/>
      <c r="BV90" s="314"/>
      <c r="BW90" s="281"/>
      <c r="BX90" s="394"/>
      <c r="BY90" s="389"/>
      <c r="BZ90" s="281"/>
      <c r="CA90" s="697"/>
      <c r="CB90" s="654"/>
      <c r="CC90" s="394"/>
      <c r="CD90" s="314"/>
      <c r="CE90" s="281"/>
      <c r="CF90" s="324"/>
      <c r="CG90" s="289"/>
      <c r="CH90" s="291"/>
      <c r="CI90" s="275"/>
      <c r="CJ90" s="278"/>
      <c r="CK90" s="281"/>
    </row>
    <row r="91" spans="4:90" ht="174.75" customHeight="1" x14ac:dyDescent="0.25">
      <c r="D91" s="461"/>
      <c r="E91" s="308"/>
      <c r="F91" s="464"/>
      <c r="G91" s="308"/>
      <c r="H91" s="308"/>
      <c r="I91" s="308"/>
      <c r="J91" s="308"/>
      <c r="K91" s="308"/>
      <c r="L91" s="397"/>
      <c r="M91" s="397"/>
      <c r="N91" s="308"/>
      <c r="O91" s="507"/>
      <c r="P91" s="554"/>
      <c r="Q91" s="22" t="s">
        <v>110</v>
      </c>
      <c r="R91" s="138">
        <v>1255</v>
      </c>
      <c r="S91" s="548"/>
      <c r="T91" s="66">
        <f>69+243+119</f>
        <v>431</v>
      </c>
      <c r="U91" s="66">
        <f>69+243+119</f>
        <v>431</v>
      </c>
      <c r="V91" s="437"/>
      <c r="W91" s="567"/>
      <c r="X91" s="199">
        <f t="shared" si="2"/>
        <v>0.34342629482071713</v>
      </c>
      <c r="Y91" s="530"/>
      <c r="Z91" s="342"/>
      <c r="AA91" s="639"/>
      <c r="AB91" s="117">
        <f>69+243+119+155+124+133</f>
        <v>843</v>
      </c>
      <c r="AC91" s="117">
        <f>69+243+119</f>
        <v>431</v>
      </c>
      <c r="AD91" s="584"/>
      <c r="AE91" s="681"/>
      <c r="AF91" s="116">
        <f t="shared" si="3"/>
        <v>0.67171314741035859</v>
      </c>
      <c r="AG91" s="668"/>
      <c r="AH91" s="236"/>
      <c r="AI91" s="381"/>
      <c r="AJ91" s="123">
        <v>0</v>
      </c>
      <c r="AK91" s="195">
        <f t="shared" si="0"/>
        <v>0</v>
      </c>
      <c r="AL91" s="342"/>
      <c r="AM91" s="379"/>
      <c r="AN91" s="337"/>
      <c r="AO91" s="172">
        <v>0</v>
      </c>
      <c r="AP91" s="173">
        <f>0/R91</f>
        <v>0</v>
      </c>
      <c r="AQ91" s="342"/>
      <c r="AR91" s="351"/>
      <c r="AS91" s="351"/>
      <c r="AT91" s="328"/>
      <c r="AU91" s="334"/>
      <c r="AV91" s="328"/>
      <c r="AW91" s="242"/>
      <c r="AX91" s="207">
        <f t="shared" si="1"/>
        <v>843</v>
      </c>
      <c r="AY91" s="134">
        <f>AX91/R91</f>
        <v>0.67171314741035859</v>
      </c>
      <c r="AZ91" s="227"/>
      <c r="BA91" s="230"/>
      <c r="BB91" s="230"/>
      <c r="BC91" s="42" t="s">
        <v>198</v>
      </c>
      <c r="BD91" s="56" t="s">
        <v>232</v>
      </c>
      <c r="BE91" s="99" t="s">
        <v>299</v>
      </c>
      <c r="BF91" s="92" t="s">
        <v>327</v>
      </c>
      <c r="BG91" s="546"/>
      <c r="BH91" s="308"/>
      <c r="BI91" s="523"/>
      <c r="BJ91" s="524"/>
      <c r="BK91" s="525"/>
      <c r="BL91" s="308"/>
      <c r="BM91" s="475"/>
      <c r="BN91" s="593"/>
      <c r="BO91" s="394"/>
      <c r="BP91" s="389"/>
      <c r="BQ91" s="281"/>
      <c r="BR91" s="665"/>
      <c r="BS91" s="617"/>
      <c r="BT91" s="654"/>
      <c r="BU91" s="394"/>
      <c r="BV91" s="314"/>
      <c r="BW91" s="281"/>
      <c r="BX91" s="394"/>
      <c r="BY91" s="389"/>
      <c r="BZ91" s="281"/>
      <c r="CA91" s="697"/>
      <c r="CB91" s="654"/>
      <c r="CC91" s="394"/>
      <c r="CD91" s="314"/>
      <c r="CE91" s="281"/>
      <c r="CF91" s="324"/>
      <c r="CG91" s="289"/>
      <c r="CH91" s="291"/>
      <c r="CI91" s="275"/>
      <c r="CJ91" s="278"/>
      <c r="CK91" s="281"/>
      <c r="CL91" s="76"/>
    </row>
    <row r="92" spans="4:90" ht="162.75" customHeight="1" x14ac:dyDescent="0.25">
      <c r="D92" s="461"/>
      <c r="E92" s="308"/>
      <c r="F92" s="464"/>
      <c r="G92" s="304"/>
      <c r="H92" s="304"/>
      <c r="I92" s="304"/>
      <c r="J92" s="304"/>
      <c r="K92" s="304"/>
      <c r="L92" s="398"/>
      <c r="M92" s="398"/>
      <c r="N92" s="304"/>
      <c r="O92" s="508"/>
      <c r="P92" s="555"/>
      <c r="Q92" s="22" t="s">
        <v>111</v>
      </c>
      <c r="R92" s="139">
        <v>100</v>
      </c>
      <c r="S92" s="548"/>
      <c r="T92" s="128">
        <v>0</v>
      </c>
      <c r="U92" s="128">
        <v>0</v>
      </c>
      <c r="V92" s="438"/>
      <c r="W92" s="567"/>
      <c r="X92" s="199">
        <f t="shared" si="2"/>
        <v>0</v>
      </c>
      <c r="Y92" s="530"/>
      <c r="Z92" s="342"/>
      <c r="AA92" s="639"/>
      <c r="AB92" s="114">
        <v>0</v>
      </c>
      <c r="AC92" s="114">
        <v>0</v>
      </c>
      <c r="AD92" s="585"/>
      <c r="AE92" s="681"/>
      <c r="AF92" s="116">
        <f t="shared" si="3"/>
        <v>0</v>
      </c>
      <c r="AG92" s="668"/>
      <c r="AH92" s="236"/>
      <c r="AI92" s="382"/>
      <c r="AJ92" s="123">
        <v>0</v>
      </c>
      <c r="AK92" s="195">
        <f t="shared" si="0"/>
        <v>0</v>
      </c>
      <c r="AL92" s="343"/>
      <c r="AM92" s="379"/>
      <c r="AN92" s="338"/>
      <c r="AO92" s="172">
        <v>50</v>
      </c>
      <c r="AP92" s="173">
        <f>AO92/R92</f>
        <v>0.5</v>
      </c>
      <c r="AQ92" s="343"/>
      <c r="AR92" s="351"/>
      <c r="AS92" s="351"/>
      <c r="AT92" s="329"/>
      <c r="AU92" s="334"/>
      <c r="AV92" s="328"/>
      <c r="AW92" s="242"/>
      <c r="AX92" s="207">
        <f t="shared" si="1"/>
        <v>50</v>
      </c>
      <c r="AY92" s="220">
        <f>AX92/R92</f>
        <v>0.5</v>
      </c>
      <c r="AZ92" s="228"/>
      <c r="BA92" s="230"/>
      <c r="BB92" s="230"/>
      <c r="BC92" s="120" t="s">
        <v>184</v>
      </c>
      <c r="BD92" s="120" t="s">
        <v>230</v>
      </c>
      <c r="BE92" s="120" t="s">
        <v>280</v>
      </c>
      <c r="BF92" s="119" t="s">
        <v>336</v>
      </c>
      <c r="BG92" s="547"/>
      <c r="BH92" s="304"/>
      <c r="BI92" s="526"/>
      <c r="BJ92" s="527"/>
      <c r="BK92" s="528"/>
      <c r="BL92" s="304"/>
      <c r="BM92" s="475"/>
      <c r="BN92" s="594"/>
      <c r="BO92" s="395"/>
      <c r="BP92" s="390"/>
      <c r="BQ92" s="282"/>
      <c r="BR92" s="665"/>
      <c r="BS92" s="617"/>
      <c r="BT92" s="654"/>
      <c r="BU92" s="395"/>
      <c r="BV92" s="315"/>
      <c r="BW92" s="282"/>
      <c r="BX92" s="395"/>
      <c r="BY92" s="390"/>
      <c r="BZ92" s="282"/>
      <c r="CA92" s="697"/>
      <c r="CB92" s="654"/>
      <c r="CC92" s="395"/>
      <c r="CD92" s="315"/>
      <c r="CE92" s="282"/>
      <c r="CF92" s="325"/>
      <c r="CG92" s="290"/>
      <c r="CH92" s="287"/>
      <c r="CI92" s="275"/>
      <c r="CJ92" s="278"/>
      <c r="CK92" s="281"/>
    </row>
    <row r="93" spans="4:90" ht="15" customHeight="1" x14ac:dyDescent="0.25">
      <c r="D93" s="461"/>
      <c r="E93" s="308"/>
      <c r="F93" s="464"/>
      <c r="G93" s="303" t="s">
        <v>112</v>
      </c>
      <c r="H93" s="475" t="s">
        <v>113</v>
      </c>
      <c r="I93" s="303" t="s">
        <v>114</v>
      </c>
      <c r="J93" s="552">
        <v>81225</v>
      </c>
      <c r="K93" s="303" t="s">
        <v>114</v>
      </c>
      <c r="L93" s="502">
        <v>45059</v>
      </c>
      <c r="M93" s="502">
        <f>J93-45059</f>
        <v>36166</v>
      </c>
      <c r="N93" s="475" t="s">
        <v>115</v>
      </c>
      <c r="O93" s="504">
        <v>10884</v>
      </c>
      <c r="P93" s="559">
        <v>9041</v>
      </c>
      <c r="Q93" s="498" t="s">
        <v>116</v>
      </c>
      <c r="R93" s="544">
        <v>4300</v>
      </c>
      <c r="S93" s="548">
        <v>0</v>
      </c>
      <c r="T93" s="549">
        <v>0</v>
      </c>
      <c r="U93" s="549">
        <v>0</v>
      </c>
      <c r="V93" s="436">
        <f>S93/P93</f>
        <v>0</v>
      </c>
      <c r="W93" s="567"/>
      <c r="X93" s="619">
        <f t="shared" si="2"/>
        <v>0</v>
      </c>
      <c r="Y93" s="530"/>
      <c r="Z93" s="342"/>
      <c r="AA93" s="639">
        <f>(AB93+AB96+AB97+AB98)</f>
        <v>4880</v>
      </c>
      <c r="AB93" s="635">
        <v>4450</v>
      </c>
      <c r="AC93" s="635">
        <v>4450</v>
      </c>
      <c r="AD93" s="583">
        <f>AA93/P93</f>
        <v>0.53976330051985399</v>
      </c>
      <c r="AE93" s="681"/>
      <c r="AF93" s="670">
        <v>1</v>
      </c>
      <c r="AG93" s="668"/>
      <c r="AH93" s="236"/>
      <c r="AI93" s="385">
        <f>AJ98+AJ97+AJ96+AJ93</f>
        <v>30</v>
      </c>
      <c r="AJ93" s="383">
        <v>0</v>
      </c>
      <c r="AK93" s="341">
        <f t="shared" si="0"/>
        <v>0</v>
      </c>
      <c r="AL93" s="341">
        <f>(AK93+AK96+AK97+AK98+AK99)/5</f>
        <v>5.668961468673285E-2</v>
      </c>
      <c r="AM93" s="379"/>
      <c r="AN93" s="336">
        <f>(AO93+AO96+AO97+AO98)</f>
        <v>1370</v>
      </c>
      <c r="AO93" s="344">
        <v>0</v>
      </c>
      <c r="AP93" s="345">
        <f>AO93/R93</f>
        <v>0</v>
      </c>
      <c r="AQ93" s="349">
        <f>(AP93+AP96+AP97+AP98)/4</f>
        <v>0.24539705411463336</v>
      </c>
      <c r="AR93" s="351"/>
      <c r="AS93" s="351"/>
      <c r="AT93" s="327">
        <f>AW93/9041</f>
        <v>0.6946134277181728</v>
      </c>
      <c r="AU93" s="334"/>
      <c r="AV93" s="328"/>
      <c r="AW93" s="242">
        <f>AX93+AX96+AX97+AX98</f>
        <v>6280</v>
      </c>
      <c r="AX93" s="254">
        <f>AO93+AJ93+AB93</f>
        <v>4450</v>
      </c>
      <c r="AY93" s="226">
        <v>1</v>
      </c>
      <c r="AZ93" s="226">
        <f>(AY93+AY96+AY97+AY98)/4</f>
        <v>0.60586775536343263</v>
      </c>
      <c r="BA93" s="230"/>
      <c r="BB93" s="230"/>
      <c r="BC93" s="295" t="s">
        <v>199</v>
      </c>
      <c r="BD93" s="295" t="s">
        <v>246</v>
      </c>
      <c r="BE93" s="295" t="s">
        <v>365</v>
      </c>
      <c r="BF93" s="295" t="s">
        <v>337</v>
      </c>
      <c r="BG93" s="545" t="s">
        <v>29</v>
      </c>
      <c r="BH93" s="367" t="s">
        <v>117</v>
      </c>
      <c r="BI93" s="520" t="s">
        <v>118</v>
      </c>
      <c r="BJ93" s="521"/>
      <c r="BK93" s="522"/>
      <c r="BL93" s="303" t="s">
        <v>119</v>
      </c>
      <c r="BM93" s="303" t="s">
        <v>295</v>
      </c>
      <c r="BN93" s="592">
        <v>1340301089</v>
      </c>
      <c r="BO93" s="393">
        <v>1340301089</v>
      </c>
      <c r="BP93" s="313">
        <v>648718900</v>
      </c>
      <c r="BQ93" s="280">
        <f>BP93/BO93</f>
        <v>0.48400982833193834</v>
      </c>
      <c r="BR93" s="665"/>
      <c r="BS93" s="617"/>
      <c r="BT93" s="654"/>
      <c r="BU93" s="393">
        <v>2479618900</v>
      </c>
      <c r="BV93" s="313">
        <v>2427518900</v>
      </c>
      <c r="BW93" s="280">
        <f>BV93/BU93</f>
        <v>0.97898870669198401</v>
      </c>
      <c r="BX93" s="393"/>
      <c r="BY93" s="313"/>
      <c r="BZ93" s="280"/>
      <c r="CA93" s="697"/>
      <c r="CB93" s="654"/>
      <c r="CC93" s="393">
        <v>6278330468</v>
      </c>
      <c r="CD93" s="313">
        <v>2504808900</v>
      </c>
      <c r="CE93" s="280">
        <f>CD93/CC93</f>
        <v>0.39896098377853023</v>
      </c>
      <c r="CF93" s="323">
        <v>5773329285</v>
      </c>
      <c r="CG93" s="288">
        <v>5411210321</v>
      </c>
      <c r="CH93" s="286">
        <f>CG93/CF93</f>
        <v>0.9372772717224287</v>
      </c>
      <c r="CI93" s="275"/>
      <c r="CJ93" s="278"/>
      <c r="CK93" s="281"/>
    </row>
    <row r="94" spans="4:90" ht="104.25" customHeight="1" x14ac:dyDescent="0.25">
      <c r="D94" s="461"/>
      <c r="E94" s="308"/>
      <c r="F94" s="464"/>
      <c r="G94" s="308"/>
      <c r="H94" s="475"/>
      <c r="I94" s="308"/>
      <c r="J94" s="552"/>
      <c r="K94" s="308"/>
      <c r="L94" s="502"/>
      <c r="M94" s="502"/>
      <c r="N94" s="475"/>
      <c r="O94" s="505"/>
      <c r="P94" s="560"/>
      <c r="Q94" s="498"/>
      <c r="R94" s="544"/>
      <c r="S94" s="548"/>
      <c r="T94" s="550"/>
      <c r="U94" s="550"/>
      <c r="V94" s="437"/>
      <c r="W94" s="567"/>
      <c r="X94" s="619"/>
      <c r="Y94" s="530"/>
      <c r="Z94" s="342"/>
      <c r="AA94" s="639"/>
      <c r="AB94" s="636"/>
      <c r="AC94" s="636"/>
      <c r="AD94" s="584"/>
      <c r="AE94" s="681"/>
      <c r="AF94" s="670"/>
      <c r="AG94" s="668"/>
      <c r="AH94" s="236"/>
      <c r="AI94" s="386"/>
      <c r="AJ94" s="383"/>
      <c r="AK94" s="342"/>
      <c r="AL94" s="342"/>
      <c r="AM94" s="379"/>
      <c r="AN94" s="337"/>
      <c r="AO94" s="344"/>
      <c r="AP94" s="347"/>
      <c r="AQ94" s="349"/>
      <c r="AR94" s="351"/>
      <c r="AS94" s="351"/>
      <c r="AT94" s="328"/>
      <c r="AU94" s="334"/>
      <c r="AV94" s="328"/>
      <c r="AW94" s="242"/>
      <c r="AX94" s="255"/>
      <c r="AY94" s="227"/>
      <c r="AZ94" s="227"/>
      <c r="BA94" s="230"/>
      <c r="BB94" s="230"/>
      <c r="BC94" s="296"/>
      <c r="BD94" s="296"/>
      <c r="BE94" s="296"/>
      <c r="BF94" s="296"/>
      <c r="BG94" s="546"/>
      <c r="BH94" s="367"/>
      <c r="BI94" s="523"/>
      <c r="BJ94" s="524"/>
      <c r="BK94" s="525"/>
      <c r="BL94" s="308"/>
      <c r="BM94" s="308"/>
      <c r="BN94" s="593"/>
      <c r="BO94" s="394"/>
      <c r="BP94" s="314"/>
      <c r="BQ94" s="281"/>
      <c r="BR94" s="665"/>
      <c r="BS94" s="617"/>
      <c r="BT94" s="654"/>
      <c r="BU94" s="394"/>
      <c r="BV94" s="314"/>
      <c r="BW94" s="281"/>
      <c r="BX94" s="394"/>
      <c r="BY94" s="314"/>
      <c r="BZ94" s="281"/>
      <c r="CA94" s="697"/>
      <c r="CB94" s="654"/>
      <c r="CC94" s="394"/>
      <c r="CD94" s="314"/>
      <c r="CE94" s="281"/>
      <c r="CF94" s="324"/>
      <c r="CG94" s="289"/>
      <c r="CH94" s="291"/>
      <c r="CI94" s="275"/>
      <c r="CJ94" s="278"/>
      <c r="CK94" s="281"/>
    </row>
    <row r="95" spans="4:90" ht="90.75" customHeight="1" x14ac:dyDescent="0.25">
      <c r="D95" s="461"/>
      <c r="E95" s="308"/>
      <c r="F95" s="464"/>
      <c r="G95" s="308"/>
      <c r="H95" s="475"/>
      <c r="I95" s="308"/>
      <c r="J95" s="552"/>
      <c r="K95" s="308"/>
      <c r="L95" s="502"/>
      <c r="M95" s="502"/>
      <c r="N95" s="475"/>
      <c r="O95" s="505"/>
      <c r="P95" s="560"/>
      <c r="Q95" s="498"/>
      <c r="R95" s="544"/>
      <c r="S95" s="548"/>
      <c r="T95" s="551"/>
      <c r="U95" s="551"/>
      <c r="V95" s="437"/>
      <c r="W95" s="567"/>
      <c r="X95" s="619"/>
      <c r="Y95" s="530"/>
      <c r="Z95" s="342"/>
      <c r="AA95" s="639"/>
      <c r="AB95" s="637"/>
      <c r="AC95" s="637"/>
      <c r="AD95" s="584"/>
      <c r="AE95" s="681"/>
      <c r="AF95" s="670"/>
      <c r="AG95" s="668"/>
      <c r="AH95" s="236"/>
      <c r="AI95" s="386"/>
      <c r="AJ95" s="385"/>
      <c r="AK95" s="343"/>
      <c r="AL95" s="342"/>
      <c r="AM95" s="379"/>
      <c r="AN95" s="337"/>
      <c r="AO95" s="353"/>
      <c r="AP95" s="346"/>
      <c r="AQ95" s="349"/>
      <c r="AR95" s="351"/>
      <c r="AS95" s="351"/>
      <c r="AT95" s="328"/>
      <c r="AU95" s="334"/>
      <c r="AV95" s="328"/>
      <c r="AW95" s="242"/>
      <c r="AX95" s="256"/>
      <c r="AY95" s="227"/>
      <c r="AZ95" s="227"/>
      <c r="BA95" s="230"/>
      <c r="BB95" s="230"/>
      <c r="BC95" s="299"/>
      <c r="BD95" s="296"/>
      <c r="BE95" s="296"/>
      <c r="BF95" s="296"/>
      <c r="BG95" s="546"/>
      <c r="BH95" s="367"/>
      <c r="BI95" s="526"/>
      <c r="BJ95" s="527"/>
      <c r="BK95" s="528"/>
      <c r="BL95" s="308"/>
      <c r="BM95" s="308"/>
      <c r="BN95" s="593"/>
      <c r="BO95" s="394"/>
      <c r="BP95" s="314"/>
      <c r="BQ95" s="281"/>
      <c r="BR95" s="665"/>
      <c r="BS95" s="617"/>
      <c r="BT95" s="654"/>
      <c r="BU95" s="394"/>
      <c r="BV95" s="314"/>
      <c r="BW95" s="281"/>
      <c r="BX95" s="394"/>
      <c r="BY95" s="314"/>
      <c r="BZ95" s="281"/>
      <c r="CA95" s="697"/>
      <c r="CB95" s="654"/>
      <c r="CC95" s="394"/>
      <c r="CD95" s="314"/>
      <c r="CE95" s="281"/>
      <c r="CF95" s="324"/>
      <c r="CG95" s="289"/>
      <c r="CH95" s="291"/>
      <c r="CI95" s="275"/>
      <c r="CJ95" s="278"/>
      <c r="CK95" s="281"/>
    </row>
    <row r="96" spans="4:90" ht="135" customHeight="1" x14ac:dyDescent="0.25">
      <c r="D96" s="461"/>
      <c r="E96" s="308"/>
      <c r="F96" s="464"/>
      <c r="G96" s="308"/>
      <c r="H96" s="475"/>
      <c r="I96" s="308"/>
      <c r="J96" s="552"/>
      <c r="K96" s="308"/>
      <c r="L96" s="502"/>
      <c r="M96" s="502"/>
      <c r="N96" s="475"/>
      <c r="O96" s="505"/>
      <c r="P96" s="560"/>
      <c r="Q96" s="23" t="s">
        <v>120</v>
      </c>
      <c r="R96" s="136">
        <v>2700</v>
      </c>
      <c r="S96" s="548"/>
      <c r="T96" s="67">
        <v>0</v>
      </c>
      <c r="U96" s="67">
        <v>0</v>
      </c>
      <c r="V96" s="437"/>
      <c r="W96" s="567"/>
      <c r="X96" s="199">
        <f>T96/R96</f>
        <v>0</v>
      </c>
      <c r="Y96" s="530"/>
      <c r="Z96" s="342"/>
      <c r="AA96" s="639"/>
      <c r="AB96" s="118">
        <v>0</v>
      </c>
      <c r="AC96" s="118">
        <v>0</v>
      </c>
      <c r="AD96" s="584"/>
      <c r="AE96" s="681"/>
      <c r="AF96" s="116">
        <f>AB96/R96</f>
        <v>0</v>
      </c>
      <c r="AG96" s="668"/>
      <c r="AH96" s="236"/>
      <c r="AI96" s="386"/>
      <c r="AJ96" s="123">
        <v>0</v>
      </c>
      <c r="AK96" s="195">
        <f>AJ96/R96</f>
        <v>0</v>
      </c>
      <c r="AL96" s="342"/>
      <c r="AM96" s="379"/>
      <c r="AN96" s="337"/>
      <c r="AO96" s="172">
        <v>600</v>
      </c>
      <c r="AP96" s="173">
        <f>AO96/R96</f>
        <v>0.22222222222222221</v>
      </c>
      <c r="AQ96" s="349"/>
      <c r="AR96" s="351"/>
      <c r="AS96" s="351"/>
      <c r="AT96" s="328"/>
      <c r="AU96" s="334"/>
      <c r="AV96" s="328"/>
      <c r="AW96" s="242"/>
      <c r="AX96" s="207">
        <f>AO96+AJ96+AB96</f>
        <v>600</v>
      </c>
      <c r="AY96" s="134">
        <f>AX96/R96</f>
        <v>0.22222222222222221</v>
      </c>
      <c r="AZ96" s="227"/>
      <c r="BA96" s="230"/>
      <c r="BB96" s="230"/>
      <c r="BC96" s="135" t="s">
        <v>212</v>
      </c>
      <c r="BD96" s="135" t="s">
        <v>311</v>
      </c>
      <c r="BE96" s="135" t="s">
        <v>311</v>
      </c>
      <c r="BF96" s="135" t="s">
        <v>312</v>
      </c>
      <c r="BG96" s="546"/>
      <c r="BH96" s="24" t="s">
        <v>121</v>
      </c>
      <c r="BI96" s="520" t="s">
        <v>31</v>
      </c>
      <c r="BJ96" s="521"/>
      <c r="BK96" s="522"/>
      <c r="BL96" s="308"/>
      <c r="BM96" s="308"/>
      <c r="BN96" s="593"/>
      <c r="BO96" s="394"/>
      <c r="BP96" s="314"/>
      <c r="BQ96" s="281"/>
      <c r="BR96" s="665"/>
      <c r="BS96" s="617"/>
      <c r="BT96" s="654"/>
      <c r="BU96" s="394"/>
      <c r="BV96" s="314"/>
      <c r="BW96" s="281"/>
      <c r="BX96" s="394"/>
      <c r="BY96" s="314"/>
      <c r="BZ96" s="281"/>
      <c r="CA96" s="697"/>
      <c r="CB96" s="654"/>
      <c r="CC96" s="394"/>
      <c r="CD96" s="314"/>
      <c r="CE96" s="281"/>
      <c r="CF96" s="324"/>
      <c r="CG96" s="289"/>
      <c r="CH96" s="291"/>
      <c r="CI96" s="275"/>
      <c r="CJ96" s="278"/>
      <c r="CK96" s="281"/>
    </row>
    <row r="97" spans="1:136" ht="84.75" customHeight="1" x14ac:dyDescent="0.25">
      <c r="D97" s="461"/>
      <c r="E97" s="308"/>
      <c r="F97" s="464"/>
      <c r="G97" s="308"/>
      <c r="H97" s="475"/>
      <c r="I97" s="308"/>
      <c r="J97" s="552"/>
      <c r="K97" s="308"/>
      <c r="L97" s="502"/>
      <c r="M97" s="502"/>
      <c r="N97" s="475"/>
      <c r="O97" s="505"/>
      <c r="P97" s="560"/>
      <c r="Q97" s="23" t="s">
        <v>122</v>
      </c>
      <c r="R97" s="136">
        <v>1000</v>
      </c>
      <c r="S97" s="548"/>
      <c r="T97" s="67">
        <v>0</v>
      </c>
      <c r="U97" s="67">
        <v>0</v>
      </c>
      <c r="V97" s="437"/>
      <c r="W97" s="567"/>
      <c r="X97" s="199">
        <f>T97/R97</f>
        <v>0</v>
      </c>
      <c r="Y97" s="530"/>
      <c r="Z97" s="342"/>
      <c r="AA97" s="639"/>
      <c r="AB97" s="118">
        <v>0</v>
      </c>
      <c r="AC97" s="118">
        <v>0</v>
      </c>
      <c r="AD97" s="584"/>
      <c r="AE97" s="681"/>
      <c r="AF97" s="116">
        <f>AB97/R97</f>
        <v>0</v>
      </c>
      <c r="AG97" s="668"/>
      <c r="AH97" s="236"/>
      <c r="AI97" s="386"/>
      <c r="AJ97" s="123">
        <v>0</v>
      </c>
      <c r="AK97" s="195">
        <f>AJ97/R97</f>
        <v>0</v>
      </c>
      <c r="AL97" s="342"/>
      <c r="AM97" s="379"/>
      <c r="AN97" s="337"/>
      <c r="AO97" s="172">
        <v>500</v>
      </c>
      <c r="AP97" s="173">
        <f>AO97/R97</f>
        <v>0.5</v>
      </c>
      <c r="AQ97" s="349"/>
      <c r="AR97" s="351"/>
      <c r="AS97" s="351"/>
      <c r="AT97" s="328"/>
      <c r="AU97" s="334"/>
      <c r="AV97" s="328"/>
      <c r="AW97" s="242"/>
      <c r="AX97" s="207">
        <f>AO97+AJ97+AB97</f>
        <v>500</v>
      </c>
      <c r="AY97" s="134">
        <f>AX97/R97</f>
        <v>0.5</v>
      </c>
      <c r="AZ97" s="227"/>
      <c r="BA97" s="230"/>
      <c r="BB97" s="230"/>
      <c r="BC97" s="121" t="s">
        <v>206</v>
      </c>
      <c r="BD97" s="121" t="s">
        <v>282</v>
      </c>
      <c r="BE97" s="121" t="s">
        <v>281</v>
      </c>
      <c r="BF97" s="121" t="s">
        <v>313</v>
      </c>
      <c r="BG97" s="546"/>
      <c r="BH97" s="25" t="s">
        <v>123</v>
      </c>
      <c r="BI97" s="523"/>
      <c r="BJ97" s="524"/>
      <c r="BK97" s="525"/>
      <c r="BL97" s="308"/>
      <c r="BM97" s="308"/>
      <c r="BN97" s="593"/>
      <c r="BO97" s="394"/>
      <c r="BP97" s="314"/>
      <c r="BQ97" s="281"/>
      <c r="BR97" s="665"/>
      <c r="BS97" s="617"/>
      <c r="BT97" s="654"/>
      <c r="BU97" s="394"/>
      <c r="BV97" s="314"/>
      <c r="BW97" s="281"/>
      <c r="BX97" s="394"/>
      <c r="BY97" s="314"/>
      <c r="BZ97" s="281"/>
      <c r="CA97" s="697"/>
      <c r="CB97" s="654"/>
      <c r="CC97" s="394"/>
      <c r="CD97" s="314"/>
      <c r="CE97" s="281"/>
      <c r="CF97" s="324"/>
      <c r="CG97" s="289"/>
      <c r="CH97" s="291"/>
      <c r="CI97" s="275"/>
      <c r="CJ97" s="278"/>
      <c r="CK97" s="281"/>
    </row>
    <row r="98" spans="1:136" ht="218.25" customHeight="1" x14ac:dyDescent="0.25">
      <c r="D98" s="461"/>
      <c r="E98" s="308"/>
      <c r="F98" s="464"/>
      <c r="G98" s="304"/>
      <c r="H98" s="475"/>
      <c r="I98" s="308"/>
      <c r="J98" s="552"/>
      <c r="K98" s="308"/>
      <c r="L98" s="502"/>
      <c r="M98" s="502"/>
      <c r="N98" s="475"/>
      <c r="O98" s="506"/>
      <c r="P98" s="560"/>
      <c r="Q98" s="26" t="s">
        <v>124</v>
      </c>
      <c r="R98" s="137">
        <v>1041</v>
      </c>
      <c r="S98" s="548"/>
      <c r="T98" s="131">
        <v>0</v>
      </c>
      <c r="U98" s="131">
        <v>0</v>
      </c>
      <c r="V98" s="438"/>
      <c r="W98" s="567"/>
      <c r="X98" s="199">
        <f>T98/R98</f>
        <v>0</v>
      </c>
      <c r="Y98" s="530"/>
      <c r="Z98" s="342"/>
      <c r="AA98" s="639"/>
      <c r="AB98" s="133">
        <v>430</v>
      </c>
      <c r="AC98" s="133">
        <v>0</v>
      </c>
      <c r="AD98" s="585"/>
      <c r="AE98" s="681"/>
      <c r="AF98" s="116">
        <f>AB98/R98</f>
        <v>0.41306436119116235</v>
      </c>
      <c r="AG98" s="668"/>
      <c r="AH98" s="236"/>
      <c r="AI98" s="387"/>
      <c r="AJ98" s="123">
        <v>30</v>
      </c>
      <c r="AK98" s="195">
        <f>AJ98/R98</f>
        <v>2.8818443804034581E-2</v>
      </c>
      <c r="AL98" s="342"/>
      <c r="AM98" s="379"/>
      <c r="AN98" s="338"/>
      <c r="AO98" s="172">
        <v>270</v>
      </c>
      <c r="AP98" s="173">
        <f>AO98/R98</f>
        <v>0.25936599423631124</v>
      </c>
      <c r="AQ98" s="349"/>
      <c r="AR98" s="351"/>
      <c r="AS98" s="351"/>
      <c r="AT98" s="329"/>
      <c r="AU98" s="334"/>
      <c r="AV98" s="328"/>
      <c r="AW98" s="242"/>
      <c r="AX98" s="207">
        <f>AO98+AJ98+AB98</f>
        <v>730</v>
      </c>
      <c r="AY98" s="134">
        <f>AX98/R98</f>
        <v>0.70124879923150818</v>
      </c>
      <c r="AZ98" s="228"/>
      <c r="BA98" s="230"/>
      <c r="BB98" s="230"/>
      <c r="BC98" s="121" t="s">
        <v>186</v>
      </c>
      <c r="BD98" s="121" t="s">
        <v>354</v>
      </c>
      <c r="BE98" s="121" t="s">
        <v>355</v>
      </c>
      <c r="BF98" s="121" t="s">
        <v>353</v>
      </c>
      <c r="BG98" s="546"/>
      <c r="BH98" s="15" t="s">
        <v>125</v>
      </c>
      <c r="BI98" s="526"/>
      <c r="BJ98" s="527"/>
      <c r="BK98" s="528"/>
      <c r="BL98" s="308"/>
      <c r="BM98" s="308"/>
      <c r="BN98" s="593"/>
      <c r="BO98" s="394"/>
      <c r="BP98" s="314"/>
      <c r="BQ98" s="281"/>
      <c r="BR98" s="665"/>
      <c r="BS98" s="617"/>
      <c r="BT98" s="654"/>
      <c r="BU98" s="394"/>
      <c r="BV98" s="314"/>
      <c r="BW98" s="281"/>
      <c r="BX98" s="394"/>
      <c r="BY98" s="314"/>
      <c r="BZ98" s="281"/>
      <c r="CA98" s="697"/>
      <c r="CB98" s="654"/>
      <c r="CC98" s="394"/>
      <c r="CD98" s="314"/>
      <c r="CE98" s="281"/>
      <c r="CF98" s="324"/>
      <c r="CG98" s="289"/>
      <c r="CH98" s="291"/>
      <c r="CI98" s="275"/>
      <c r="CJ98" s="278"/>
      <c r="CK98" s="281"/>
    </row>
    <row r="99" spans="1:136" ht="110.25" customHeight="1" x14ac:dyDescent="0.25">
      <c r="D99" s="461"/>
      <c r="E99" s="308"/>
      <c r="F99" s="464"/>
      <c r="G99" s="303" t="s">
        <v>126</v>
      </c>
      <c r="H99" s="303" t="s">
        <v>127</v>
      </c>
      <c r="I99" s="308"/>
      <c r="J99" s="303">
        <v>100</v>
      </c>
      <c r="K99" s="308"/>
      <c r="L99" s="396">
        <v>100</v>
      </c>
      <c r="M99" s="396">
        <v>100</v>
      </c>
      <c r="N99" s="303" t="s">
        <v>128</v>
      </c>
      <c r="O99" s="504">
        <v>92</v>
      </c>
      <c r="P99" s="556">
        <v>108</v>
      </c>
      <c r="Q99" s="463" t="s">
        <v>129</v>
      </c>
      <c r="R99" s="413">
        <v>108</v>
      </c>
      <c r="S99" s="405">
        <v>5</v>
      </c>
      <c r="T99" s="405">
        <v>5</v>
      </c>
      <c r="U99" s="405">
        <v>5</v>
      </c>
      <c r="V99" s="436">
        <f>S99/R99</f>
        <v>4.6296296296296294E-2</v>
      </c>
      <c r="W99" s="567"/>
      <c r="X99" s="619">
        <f>S99/R99</f>
        <v>4.6296296296296294E-2</v>
      </c>
      <c r="Y99" s="530"/>
      <c r="Z99" s="342"/>
      <c r="AA99" s="627">
        <v>5</v>
      </c>
      <c r="AB99" s="627">
        <v>5</v>
      </c>
      <c r="AC99" s="627">
        <v>5</v>
      </c>
      <c r="AD99" s="583">
        <f>AA99/P99</f>
        <v>4.6296296296296294E-2</v>
      </c>
      <c r="AE99" s="681"/>
      <c r="AF99" s="667">
        <f>AB99/R99</f>
        <v>4.6296296296296294E-2</v>
      </c>
      <c r="AG99" s="668"/>
      <c r="AH99" s="236"/>
      <c r="AI99" s="640">
        <v>55</v>
      </c>
      <c r="AJ99" s="640">
        <v>55</v>
      </c>
      <c r="AK99" s="341">
        <f>(AI99/R99)/2</f>
        <v>0.25462962962962965</v>
      </c>
      <c r="AL99" s="342"/>
      <c r="AM99" s="379"/>
      <c r="AN99" s="373">
        <v>0</v>
      </c>
      <c r="AO99" s="373">
        <v>0</v>
      </c>
      <c r="AP99" s="345">
        <f>AN99 /R99</f>
        <v>0</v>
      </c>
      <c r="AQ99" s="350">
        <v>0</v>
      </c>
      <c r="AR99" s="351"/>
      <c r="AS99" s="351"/>
      <c r="AT99" s="327">
        <f>AW99/R99</f>
        <v>0.55555555555555558</v>
      </c>
      <c r="AU99" s="334"/>
      <c r="AV99" s="328"/>
      <c r="AW99" s="240">
        <f>AN99+AI99+AA99</f>
        <v>60</v>
      </c>
      <c r="AX99" s="242">
        <f>AO99+AJ99+AA99</f>
        <v>60</v>
      </c>
      <c r="AY99" s="226">
        <f>AX99/R99</f>
        <v>0.55555555555555558</v>
      </c>
      <c r="AZ99" s="226">
        <f>AX99/R99</f>
        <v>0.55555555555555558</v>
      </c>
      <c r="BA99" s="230"/>
      <c r="BB99" s="230"/>
      <c r="BC99" s="295" t="s">
        <v>209</v>
      </c>
      <c r="BD99" s="297" t="s">
        <v>234</v>
      </c>
      <c r="BE99" s="297" t="s">
        <v>283</v>
      </c>
      <c r="BF99" s="297" t="s">
        <v>320</v>
      </c>
      <c r="BG99" s="546"/>
      <c r="BH99" s="367" t="s">
        <v>130</v>
      </c>
      <c r="BI99" s="520" t="s">
        <v>31</v>
      </c>
      <c r="BJ99" s="521"/>
      <c r="BK99" s="522"/>
      <c r="BL99" s="308"/>
      <c r="BM99" s="308"/>
      <c r="BN99" s="593"/>
      <c r="BO99" s="394"/>
      <c r="BP99" s="314"/>
      <c r="BQ99" s="281"/>
      <c r="BR99" s="665"/>
      <c r="BS99" s="617"/>
      <c r="BT99" s="654"/>
      <c r="BU99" s="394"/>
      <c r="BV99" s="314"/>
      <c r="BW99" s="281"/>
      <c r="BX99" s="394"/>
      <c r="BY99" s="314"/>
      <c r="BZ99" s="281"/>
      <c r="CA99" s="697"/>
      <c r="CB99" s="654"/>
      <c r="CC99" s="394"/>
      <c r="CD99" s="314"/>
      <c r="CE99" s="281"/>
      <c r="CF99" s="324"/>
      <c r="CG99" s="289"/>
      <c r="CH99" s="291"/>
      <c r="CI99" s="275"/>
      <c r="CJ99" s="278"/>
      <c r="CK99" s="281"/>
    </row>
    <row r="100" spans="1:136" ht="15" customHeight="1" x14ac:dyDescent="0.25">
      <c r="D100" s="461"/>
      <c r="E100" s="308"/>
      <c r="F100" s="464"/>
      <c r="G100" s="308"/>
      <c r="H100" s="308"/>
      <c r="I100" s="308"/>
      <c r="J100" s="308"/>
      <c r="K100" s="308"/>
      <c r="L100" s="397"/>
      <c r="M100" s="397"/>
      <c r="N100" s="308"/>
      <c r="O100" s="505"/>
      <c r="P100" s="557"/>
      <c r="Q100" s="464"/>
      <c r="R100" s="414"/>
      <c r="S100" s="435"/>
      <c r="T100" s="435"/>
      <c r="U100" s="435"/>
      <c r="V100" s="437"/>
      <c r="W100" s="567"/>
      <c r="X100" s="619"/>
      <c r="Y100" s="530"/>
      <c r="Z100" s="342"/>
      <c r="AA100" s="628"/>
      <c r="AB100" s="628"/>
      <c r="AC100" s="628"/>
      <c r="AD100" s="584"/>
      <c r="AE100" s="681"/>
      <c r="AF100" s="668"/>
      <c r="AG100" s="668"/>
      <c r="AH100" s="236"/>
      <c r="AI100" s="641"/>
      <c r="AJ100" s="641"/>
      <c r="AK100" s="342"/>
      <c r="AL100" s="342"/>
      <c r="AM100" s="379"/>
      <c r="AN100" s="374"/>
      <c r="AO100" s="374"/>
      <c r="AP100" s="347"/>
      <c r="AQ100" s="351"/>
      <c r="AR100" s="351"/>
      <c r="AS100" s="351"/>
      <c r="AT100" s="328"/>
      <c r="AU100" s="334"/>
      <c r="AV100" s="328"/>
      <c r="AW100" s="241"/>
      <c r="AX100" s="242"/>
      <c r="AY100" s="227"/>
      <c r="AZ100" s="227"/>
      <c r="BA100" s="230"/>
      <c r="BB100" s="230"/>
      <c r="BC100" s="296"/>
      <c r="BD100" s="297"/>
      <c r="BE100" s="297"/>
      <c r="BF100" s="297"/>
      <c r="BG100" s="546"/>
      <c r="BH100" s="367"/>
      <c r="BI100" s="523"/>
      <c r="BJ100" s="524"/>
      <c r="BK100" s="525"/>
      <c r="BL100" s="308"/>
      <c r="BM100" s="308"/>
      <c r="BN100" s="593"/>
      <c r="BO100" s="394"/>
      <c r="BP100" s="314"/>
      <c r="BQ100" s="281"/>
      <c r="BR100" s="665"/>
      <c r="BS100" s="617"/>
      <c r="BT100" s="654"/>
      <c r="BU100" s="394"/>
      <c r="BV100" s="314"/>
      <c r="BW100" s="281"/>
      <c r="BX100" s="394"/>
      <c r="BY100" s="314"/>
      <c r="BZ100" s="281"/>
      <c r="CA100" s="697"/>
      <c r="CB100" s="654"/>
      <c r="CC100" s="394"/>
      <c r="CD100" s="314"/>
      <c r="CE100" s="281"/>
      <c r="CF100" s="324"/>
      <c r="CG100" s="289"/>
      <c r="CH100" s="291"/>
      <c r="CI100" s="275"/>
      <c r="CJ100" s="278"/>
      <c r="CK100" s="281"/>
    </row>
    <row r="101" spans="1:136" ht="156.75" customHeight="1" x14ac:dyDescent="0.25">
      <c r="D101" s="461"/>
      <c r="E101" s="308"/>
      <c r="F101" s="465"/>
      <c r="G101" s="304"/>
      <c r="H101" s="304"/>
      <c r="I101" s="304"/>
      <c r="J101" s="304"/>
      <c r="K101" s="304"/>
      <c r="L101" s="398"/>
      <c r="M101" s="398"/>
      <c r="N101" s="304"/>
      <c r="O101" s="506"/>
      <c r="P101" s="558"/>
      <c r="Q101" s="465"/>
      <c r="R101" s="415"/>
      <c r="S101" s="406"/>
      <c r="T101" s="406"/>
      <c r="U101" s="406"/>
      <c r="V101" s="438"/>
      <c r="W101" s="568"/>
      <c r="X101" s="619"/>
      <c r="Y101" s="531"/>
      <c r="Z101" s="342"/>
      <c r="AA101" s="629"/>
      <c r="AB101" s="629"/>
      <c r="AC101" s="629"/>
      <c r="AD101" s="585"/>
      <c r="AE101" s="682"/>
      <c r="AF101" s="669"/>
      <c r="AG101" s="669"/>
      <c r="AH101" s="236"/>
      <c r="AI101" s="642"/>
      <c r="AJ101" s="642"/>
      <c r="AK101" s="343"/>
      <c r="AL101" s="343"/>
      <c r="AM101" s="379"/>
      <c r="AN101" s="375"/>
      <c r="AO101" s="375"/>
      <c r="AP101" s="346"/>
      <c r="AQ101" s="352"/>
      <c r="AR101" s="351"/>
      <c r="AS101" s="351"/>
      <c r="AT101" s="329"/>
      <c r="AU101" s="335"/>
      <c r="AV101" s="328"/>
      <c r="AW101" s="241"/>
      <c r="AX101" s="242"/>
      <c r="AY101" s="228"/>
      <c r="AZ101" s="228"/>
      <c r="BA101" s="231"/>
      <c r="BB101" s="230"/>
      <c r="BC101" s="299"/>
      <c r="BD101" s="297"/>
      <c r="BE101" s="297"/>
      <c r="BF101" s="297"/>
      <c r="BG101" s="547"/>
      <c r="BH101" s="367"/>
      <c r="BI101" s="526"/>
      <c r="BJ101" s="527"/>
      <c r="BK101" s="528"/>
      <c r="BL101" s="304"/>
      <c r="BM101" s="304"/>
      <c r="BN101" s="594"/>
      <c r="BO101" s="395"/>
      <c r="BP101" s="315"/>
      <c r="BQ101" s="282"/>
      <c r="BR101" s="666"/>
      <c r="BS101" s="618"/>
      <c r="BT101" s="655"/>
      <c r="BU101" s="395"/>
      <c r="BV101" s="315"/>
      <c r="BW101" s="282"/>
      <c r="BX101" s="395"/>
      <c r="BY101" s="315"/>
      <c r="BZ101" s="282"/>
      <c r="CA101" s="698"/>
      <c r="CB101" s="655"/>
      <c r="CC101" s="395"/>
      <c r="CD101" s="315"/>
      <c r="CE101" s="282"/>
      <c r="CF101" s="325"/>
      <c r="CG101" s="290"/>
      <c r="CH101" s="287"/>
      <c r="CI101" s="276"/>
      <c r="CJ101" s="279"/>
      <c r="CK101" s="282"/>
    </row>
    <row r="102" spans="1:136" ht="15" customHeight="1" x14ac:dyDescent="0.25">
      <c r="D102" s="461"/>
      <c r="E102" s="308"/>
      <c r="F102" s="303" t="s">
        <v>131</v>
      </c>
      <c r="G102" s="303" t="s">
        <v>132</v>
      </c>
      <c r="H102" s="305" t="s">
        <v>133</v>
      </c>
      <c r="I102" s="303" t="s">
        <v>134</v>
      </c>
      <c r="J102" s="303">
        <v>48</v>
      </c>
      <c r="K102" s="303" t="s">
        <v>134</v>
      </c>
      <c r="L102" s="396">
        <v>39</v>
      </c>
      <c r="M102" s="396">
        <f>J102-39</f>
        <v>9</v>
      </c>
      <c r="N102" s="303" t="s">
        <v>135</v>
      </c>
      <c r="O102" s="463">
        <v>13</v>
      </c>
      <c r="P102" s="407">
        <v>2</v>
      </c>
      <c r="Q102" s="303" t="s">
        <v>173</v>
      </c>
      <c r="R102" s="410">
        <v>2</v>
      </c>
      <c r="S102" s="563">
        <v>9</v>
      </c>
      <c r="T102" s="564">
        <v>9</v>
      </c>
      <c r="U102" s="399">
        <v>1</v>
      </c>
      <c r="V102" s="436">
        <f>(U102+U104+U106+U105)/4</f>
        <v>0.58952380952380956</v>
      </c>
      <c r="W102" s="432">
        <f>(V102+V111)/2</f>
        <v>0.41976190476190478</v>
      </c>
      <c r="X102" s="379">
        <v>1</v>
      </c>
      <c r="Y102" s="341">
        <f>(X102+X104+X105+X106+X111)/5</f>
        <v>0.52161904761904765</v>
      </c>
      <c r="Z102" s="342"/>
      <c r="AA102" s="579">
        <f>AB102+S102</f>
        <v>14</v>
      </c>
      <c r="AB102" s="638">
        <v>5</v>
      </c>
      <c r="AC102" s="583">
        <v>1</v>
      </c>
      <c r="AD102" s="583">
        <f>(AC102+AC104+AC106+AC105)/4</f>
        <v>0.6495238095238095</v>
      </c>
      <c r="AE102" s="327">
        <f>(AD102+AD111)/2</f>
        <v>0.57476190476190481</v>
      </c>
      <c r="AF102" s="239">
        <v>1</v>
      </c>
      <c r="AG102" s="235">
        <f>(AF102+AF104+AF105+AF106+AF111)/5</f>
        <v>0.56961904761904758</v>
      </c>
      <c r="AH102" s="236"/>
      <c r="AI102" s="599">
        <v>1</v>
      </c>
      <c r="AJ102" s="599">
        <v>1</v>
      </c>
      <c r="AK102" s="341">
        <f>AI102/R102</f>
        <v>0.5</v>
      </c>
      <c r="AL102" s="379">
        <f>AJ102/R102</f>
        <v>0.5</v>
      </c>
      <c r="AM102" s="341">
        <f>(AL102+AL104+AL111)/3</f>
        <v>0.28111111111111114</v>
      </c>
      <c r="AN102" s="348">
        <v>0</v>
      </c>
      <c r="AO102" s="348">
        <v>0</v>
      </c>
      <c r="AP102" s="345">
        <f>0/R102</f>
        <v>0</v>
      </c>
      <c r="AQ102" s="341">
        <f>0/S102</f>
        <v>0</v>
      </c>
      <c r="AR102" s="349">
        <f>(AQ102+AQ104+AQ111)/3</f>
        <v>0.21031746031746032</v>
      </c>
      <c r="AS102" s="351"/>
      <c r="AT102" s="327">
        <v>1</v>
      </c>
      <c r="AU102" s="327">
        <f>(AT102+AT104+AT111)/3</f>
        <v>0.83009999999999995</v>
      </c>
      <c r="AV102" s="328"/>
      <c r="AW102" s="253">
        <f>AN102+AI102+AA102</f>
        <v>15</v>
      </c>
      <c r="AX102" s="243">
        <f>AO102+AJ102+AA102</f>
        <v>15</v>
      </c>
      <c r="AY102" s="226">
        <v>1</v>
      </c>
      <c r="AZ102" s="226">
        <f>(AY111+AY106+AY105+AY104+AY102)/5</f>
        <v>0.8761904761904763</v>
      </c>
      <c r="BA102" s="229">
        <f>(AY102+AY104+AY105+AY106+AY111)/5</f>
        <v>0.8761904761904763</v>
      </c>
      <c r="BB102" s="230"/>
      <c r="BC102" s="292" t="s">
        <v>207</v>
      </c>
      <c r="BD102" s="367" t="s">
        <v>235</v>
      </c>
      <c r="BE102" s="367" t="s">
        <v>349</v>
      </c>
      <c r="BF102" s="367" t="s">
        <v>324</v>
      </c>
      <c r="BG102" s="545" t="s">
        <v>101</v>
      </c>
      <c r="BH102" s="475" t="s">
        <v>136</v>
      </c>
      <c r="BI102" s="520" t="s">
        <v>31</v>
      </c>
      <c r="BJ102" s="521"/>
      <c r="BK102" s="522"/>
      <c r="BL102" s="561" t="s">
        <v>137</v>
      </c>
      <c r="BM102" s="561" t="s">
        <v>39</v>
      </c>
      <c r="BN102" s="562">
        <v>591503909</v>
      </c>
      <c r="BO102" s="661">
        <v>591503909</v>
      </c>
      <c r="BP102" s="313">
        <v>205823100</v>
      </c>
      <c r="BQ102" s="280">
        <f>BP102/BO102</f>
        <v>0.34796574776313099</v>
      </c>
      <c r="BR102" s="616">
        <v>3499205404</v>
      </c>
      <c r="BS102" s="616">
        <v>465308398</v>
      </c>
      <c r="BT102" s="647">
        <f>BS102/BR102</f>
        <v>0.13297544564491648</v>
      </c>
      <c r="BU102" s="661">
        <v>395823100</v>
      </c>
      <c r="BV102" s="661">
        <v>365823100</v>
      </c>
      <c r="BW102" s="280">
        <f>BV102/BU102</f>
        <v>0.92420856690779285</v>
      </c>
      <c r="BX102" s="661"/>
      <c r="BY102" s="313"/>
      <c r="BZ102" s="280"/>
      <c r="CA102" s="683"/>
      <c r="CB102" s="647"/>
      <c r="CC102" s="661">
        <v>365823100</v>
      </c>
      <c r="CD102" s="661">
        <v>365823100</v>
      </c>
      <c r="CE102" s="280">
        <f>CD102/CC102</f>
        <v>1</v>
      </c>
      <c r="CF102" s="326">
        <v>365823100</v>
      </c>
      <c r="CG102" s="326">
        <v>365823100</v>
      </c>
      <c r="CH102" s="286">
        <f>CG102/CF102</f>
        <v>1</v>
      </c>
      <c r="CI102" s="274">
        <v>6871393456</v>
      </c>
      <c r="CJ102" s="274">
        <v>5996987729</v>
      </c>
      <c r="CK102" s="283">
        <f>CJ102/CI102</f>
        <v>0.8727469569892724</v>
      </c>
    </row>
    <row r="103" spans="1:136" ht="336.75" customHeight="1" x14ac:dyDescent="0.25">
      <c r="D103" s="461"/>
      <c r="E103" s="308"/>
      <c r="F103" s="308"/>
      <c r="G103" s="308"/>
      <c r="H103" s="307"/>
      <c r="I103" s="304"/>
      <c r="J103" s="304"/>
      <c r="K103" s="304"/>
      <c r="L103" s="398"/>
      <c r="M103" s="398"/>
      <c r="N103" s="304"/>
      <c r="O103" s="465"/>
      <c r="P103" s="409"/>
      <c r="Q103" s="304"/>
      <c r="R103" s="412"/>
      <c r="S103" s="563"/>
      <c r="T103" s="564"/>
      <c r="U103" s="401"/>
      <c r="V103" s="437"/>
      <c r="W103" s="433"/>
      <c r="X103" s="379"/>
      <c r="Y103" s="342"/>
      <c r="Z103" s="342"/>
      <c r="AA103" s="579"/>
      <c r="AB103" s="638"/>
      <c r="AC103" s="585"/>
      <c r="AD103" s="584"/>
      <c r="AE103" s="328"/>
      <c r="AF103" s="239"/>
      <c r="AG103" s="236"/>
      <c r="AH103" s="236"/>
      <c r="AI103" s="599"/>
      <c r="AJ103" s="599"/>
      <c r="AK103" s="343"/>
      <c r="AL103" s="379"/>
      <c r="AM103" s="342"/>
      <c r="AN103" s="348"/>
      <c r="AO103" s="348"/>
      <c r="AP103" s="346"/>
      <c r="AQ103" s="343"/>
      <c r="AR103" s="349"/>
      <c r="AS103" s="351"/>
      <c r="AT103" s="329"/>
      <c r="AU103" s="328"/>
      <c r="AV103" s="328"/>
      <c r="AW103" s="246"/>
      <c r="AX103" s="241"/>
      <c r="AY103" s="228"/>
      <c r="AZ103" s="227"/>
      <c r="BA103" s="230"/>
      <c r="BB103" s="230"/>
      <c r="BC103" s="294"/>
      <c r="BD103" s="367"/>
      <c r="BE103" s="367"/>
      <c r="BF103" s="367"/>
      <c r="BG103" s="547"/>
      <c r="BH103" s="475"/>
      <c r="BI103" s="526"/>
      <c r="BJ103" s="527"/>
      <c r="BK103" s="528"/>
      <c r="BL103" s="561"/>
      <c r="BM103" s="561"/>
      <c r="BN103" s="562"/>
      <c r="BO103" s="661"/>
      <c r="BP103" s="315"/>
      <c r="BQ103" s="282"/>
      <c r="BR103" s="617"/>
      <c r="BS103" s="617"/>
      <c r="BT103" s="648"/>
      <c r="BU103" s="661"/>
      <c r="BV103" s="661"/>
      <c r="BW103" s="282"/>
      <c r="BX103" s="661"/>
      <c r="BY103" s="315"/>
      <c r="BZ103" s="282"/>
      <c r="CA103" s="684"/>
      <c r="CB103" s="648"/>
      <c r="CC103" s="661"/>
      <c r="CD103" s="661"/>
      <c r="CE103" s="282"/>
      <c r="CF103" s="326"/>
      <c r="CG103" s="326"/>
      <c r="CH103" s="287"/>
      <c r="CI103" s="275"/>
      <c r="CJ103" s="275"/>
      <c r="CK103" s="284"/>
    </row>
    <row r="104" spans="1:136" ht="249" customHeight="1" x14ac:dyDescent="0.25">
      <c r="D104" s="461"/>
      <c r="E104" s="308"/>
      <c r="F104" s="308"/>
      <c r="G104" s="308"/>
      <c r="H104" s="305" t="s">
        <v>138</v>
      </c>
      <c r="I104" s="303" t="s">
        <v>139</v>
      </c>
      <c r="J104" s="303">
        <v>100</v>
      </c>
      <c r="K104" s="303" t="s">
        <v>139</v>
      </c>
      <c r="L104" s="396">
        <v>16</v>
      </c>
      <c r="M104" s="396">
        <f>J104-16</f>
        <v>84</v>
      </c>
      <c r="N104" s="35" t="s">
        <v>171</v>
      </c>
      <c r="O104" s="36">
        <v>80</v>
      </c>
      <c r="P104" s="38">
        <v>32</v>
      </c>
      <c r="Q104" s="35" t="s">
        <v>172</v>
      </c>
      <c r="R104" s="125">
        <v>32</v>
      </c>
      <c r="S104" s="132">
        <v>52</v>
      </c>
      <c r="T104" s="68">
        <v>52</v>
      </c>
      <c r="U104" s="140">
        <v>1</v>
      </c>
      <c r="V104" s="437"/>
      <c r="W104" s="433"/>
      <c r="X104" s="195">
        <v>1</v>
      </c>
      <c r="Y104" s="342"/>
      <c r="Z104" s="342"/>
      <c r="AA104" s="149">
        <v>52</v>
      </c>
      <c r="AB104" s="150">
        <v>0</v>
      </c>
      <c r="AC104" s="126">
        <v>1</v>
      </c>
      <c r="AD104" s="584"/>
      <c r="AE104" s="328"/>
      <c r="AF104" s="115">
        <v>1</v>
      </c>
      <c r="AG104" s="236"/>
      <c r="AH104" s="236"/>
      <c r="AI104" s="123">
        <v>0</v>
      </c>
      <c r="AJ104" s="123">
        <v>0</v>
      </c>
      <c r="AK104" s="195">
        <f>AI104/R104</f>
        <v>0</v>
      </c>
      <c r="AL104" s="341">
        <f>(AK104+AK105+AK106)/3</f>
        <v>9.3333333333333338E-2</v>
      </c>
      <c r="AM104" s="342"/>
      <c r="AN104" s="172">
        <v>0</v>
      </c>
      <c r="AO104" s="172">
        <v>0</v>
      </c>
      <c r="AP104" s="173">
        <f>AN104/R104</f>
        <v>0</v>
      </c>
      <c r="AQ104" s="341">
        <f>(AP104+AP105+AP106)/3</f>
        <v>0.38095238095238093</v>
      </c>
      <c r="AR104" s="349"/>
      <c r="AS104" s="351"/>
      <c r="AT104" s="327">
        <v>0.49030000000000001</v>
      </c>
      <c r="AU104" s="328"/>
      <c r="AV104" s="328"/>
      <c r="AW104" s="206">
        <f>AN104+AI104+AA104</f>
        <v>52</v>
      </c>
      <c r="AX104" s="209">
        <f>AO104+AJ104+AA104</f>
        <v>52</v>
      </c>
      <c r="AY104" s="134">
        <v>1</v>
      </c>
      <c r="AZ104" s="227"/>
      <c r="BA104" s="230"/>
      <c r="BB104" s="230"/>
      <c r="BC104" s="43" t="s">
        <v>187</v>
      </c>
      <c r="BD104" s="43" t="s">
        <v>236</v>
      </c>
      <c r="BE104" s="43" t="s">
        <v>236</v>
      </c>
      <c r="BF104" s="95" t="s">
        <v>316</v>
      </c>
      <c r="BG104" s="300" t="s">
        <v>29</v>
      </c>
      <c r="BH104" s="303" t="s">
        <v>142</v>
      </c>
      <c r="BI104" s="520" t="s">
        <v>88</v>
      </c>
      <c r="BJ104" s="521"/>
      <c r="BK104" s="522"/>
      <c r="BL104" s="463" t="s">
        <v>139</v>
      </c>
      <c r="BM104" s="463" t="s">
        <v>296</v>
      </c>
      <c r="BN104" s="592">
        <v>2267701495</v>
      </c>
      <c r="BO104" s="313">
        <v>2267701495</v>
      </c>
      <c r="BP104" s="313">
        <v>465308398</v>
      </c>
      <c r="BQ104" s="280">
        <f>BP104/BO104</f>
        <v>0.20518943918586605</v>
      </c>
      <c r="BR104" s="617"/>
      <c r="BS104" s="617"/>
      <c r="BT104" s="648"/>
      <c r="BU104" s="313">
        <v>2157701495</v>
      </c>
      <c r="BV104" s="313">
        <v>1848814288</v>
      </c>
      <c r="BW104" s="280">
        <f>BV104/BU104</f>
        <v>0.85684432822808054</v>
      </c>
      <c r="BX104" s="313"/>
      <c r="BY104" s="313"/>
      <c r="BZ104" s="280"/>
      <c r="CA104" s="684"/>
      <c r="CB104" s="648"/>
      <c r="CC104" s="313">
        <v>3617688091</v>
      </c>
      <c r="CD104" s="313">
        <v>2974214705</v>
      </c>
      <c r="CE104" s="280">
        <f>CD104/CC104</f>
        <v>0.82213132536195754</v>
      </c>
      <c r="CF104" s="288">
        <v>6505570356</v>
      </c>
      <c r="CG104" s="288">
        <v>5631164629</v>
      </c>
      <c r="CH104" s="286">
        <f>CG104/CF104</f>
        <v>0.86559122734049787</v>
      </c>
      <c r="CI104" s="275"/>
      <c r="CJ104" s="275"/>
      <c r="CK104" s="284"/>
      <c r="CM104" s="76"/>
    </row>
    <row r="105" spans="1:136" ht="409.5" customHeight="1" x14ac:dyDescent="0.25">
      <c r="D105" s="461"/>
      <c r="E105" s="308"/>
      <c r="F105" s="308"/>
      <c r="G105" s="308"/>
      <c r="H105" s="307"/>
      <c r="I105" s="308"/>
      <c r="J105" s="304"/>
      <c r="K105" s="308"/>
      <c r="L105" s="398"/>
      <c r="M105" s="398"/>
      <c r="N105" s="37" t="s">
        <v>140</v>
      </c>
      <c r="O105" s="21">
        <v>155</v>
      </c>
      <c r="P105" s="27">
        <v>21</v>
      </c>
      <c r="Q105" s="35" t="s">
        <v>141</v>
      </c>
      <c r="R105" s="68">
        <v>21</v>
      </c>
      <c r="S105" s="132">
        <v>5</v>
      </c>
      <c r="T105" s="69">
        <v>5</v>
      </c>
      <c r="U105" s="140">
        <f>T105/R105</f>
        <v>0.23809523809523808</v>
      </c>
      <c r="V105" s="437"/>
      <c r="W105" s="433"/>
      <c r="X105" s="195">
        <f>S105/R105</f>
        <v>0.23809523809523808</v>
      </c>
      <c r="Y105" s="342"/>
      <c r="Z105" s="342"/>
      <c r="AA105" s="149">
        <v>5</v>
      </c>
      <c r="AB105" s="151">
        <v>5</v>
      </c>
      <c r="AC105" s="126">
        <f>AB105/P105</f>
        <v>0.23809523809523808</v>
      </c>
      <c r="AD105" s="584"/>
      <c r="AE105" s="328"/>
      <c r="AF105" s="115">
        <f>AB105/P105</f>
        <v>0.23809523809523808</v>
      </c>
      <c r="AG105" s="236"/>
      <c r="AH105" s="236"/>
      <c r="AI105" s="123">
        <v>0</v>
      </c>
      <c r="AJ105" s="123">
        <v>0</v>
      </c>
      <c r="AK105" s="195">
        <f>AI105/R105</f>
        <v>0</v>
      </c>
      <c r="AL105" s="342"/>
      <c r="AM105" s="342"/>
      <c r="AN105" s="172">
        <v>3</v>
      </c>
      <c r="AO105" s="172">
        <v>3</v>
      </c>
      <c r="AP105" s="173">
        <f>AN105/R105</f>
        <v>0.14285714285714285</v>
      </c>
      <c r="AQ105" s="342"/>
      <c r="AR105" s="349"/>
      <c r="AS105" s="351"/>
      <c r="AT105" s="328"/>
      <c r="AU105" s="328"/>
      <c r="AV105" s="328"/>
      <c r="AW105" s="210">
        <f>AN105+AI105+AB105</f>
        <v>8</v>
      </c>
      <c r="AX105" s="209">
        <f>AO105+AJ105+AA105</f>
        <v>8</v>
      </c>
      <c r="AY105" s="134">
        <f>AX105/R105</f>
        <v>0.38095238095238093</v>
      </c>
      <c r="AZ105" s="227"/>
      <c r="BA105" s="230"/>
      <c r="BB105" s="230"/>
      <c r="BC105" s="49" t="s">
        <v>210</v>
      </c>
      <c r="BD105" s="49" t="s">
        <v>210</v>
      </c>
      <c r="BE105" s="49" t="s">
        <v>210</v>
      </c>
      <c r="BF105" s="92" t="s">
        <v>338</v>
      </c>
      <c r="BG105" s="301"/>
      <c r="BH105" s="304"/>
      <c r="BI105" s="526"/>
      <c r="BJ105" s="527"/>
      <c r="BK105" s="528"/>
      <c r="BL105" s="464"/>
      <c r="BM105" s="464"/>
      <c r="BN105" s="593"/>
      <c r="BO105" s="314"/>
      <c r="BP105" s="314"/>
      <c r="BQ105" s="281"/>
      <c r="BR105" s="617"/>
      <c r="BS105" s="617"/>
      <c r="BT105" s="648"/>
      <c r="BU105" s="314"/>
      <c r="BV105" s="314"/>
      <c r="BW105" s="281"/>
      <c r="BX105" s="314"/>
      <c r="BY105" s="314"/>
      <c r="BZ105" s="281"/>
      <c r="CA105" s="684"/>
      <c r="CB105" s="648"/>
      <c r="CC105" s="314"/>
      <c r="CD105" s="314"/>
      <c r="CE105" s="281"/>
      <c r="CF105" s="289"/>
      <c r="CG105" s="289"/>
      <c r="CH105" s="291"/>
      <c r="CI105" s="275"/>
      <c r="CJ105" s="275"/>
      <c r="CK105" s="284"/>
    </row>
    <row r="106" spans="1:136" ht="43.5" customHeight="1" x14ac:dyDescent="0.25">
      <c r="D106" s="461"/>
      <c r="E106" s="308"/>
      <c r="F106" s="308"/>
      <c r="G106" s="308"/>
      <c r="H106" s="303" t="s">
        <v>143</v>
      </c>
      <c r="I106" s="308"/>
      <c r="J106" s="303">
        <v>430</v>
      </c>
      <c r="K106" s="308"/>
      <c r="L106" s="396">
        <v>331</v>
      </c>
      <c r="M106" s="396">
        <f>J106-331</f>
        <v>99</v>
      </c>
      <c r="N106" s="303" t="s">
        <v>144</v>
      </c>
      <c r="O106" s="303">
        <v>56</v>
      </c>
      <c r="P106" s="407">
        <v>25</v>
      </c>
      <c r="Q106" s="292" t="s">
        <v>174</v>
      </c>
      <c r="R106" s="410">
        <v>25</v>
      </c>
      <c r="S106" s="565">
        <v>3</v>
      </c>
      <c r="T106" s="588">
        <v>3</v>
      </c>
      <c r="U106" s="399">
        <f>S106/R106</f>
        <v>0.12</v>
      </c>
      <c r="V106" s="437"/>
      <c r="W106" s="433"/>
      <c r="X106" s="379">
        <f>S106/R106</f>
        <v>0.12</v>
      </c>
      <c r="Y106" s="342"/>
      <c r="Z106" s="342"/>
      <c r="AA106" s="595">
        <f>AB106+S106</f>
        <v>12</v>
      </c>
      <c r="AB106" s="596">
        <v>9</v>
      </c>
      <c r="AC106" s="583">
        <f>AB106/P106</f>
        <v>0.36</v>
      </c>
      <c r="AD106" s="584"/>
      <c r="AE106" s="328"/>
      <c r="AF106" s="239">
        <f>AB106/P106</f>
        <v>0.36</v>
      </c>
      <c r="AG106" s="236"/>
      <c r="AH106" s="236"/>
      <c r="AI106" s="380">
        <v>7</v>
      </c>
      <c r="AJ106" s="380">
        <v>7</v>
      </c>
      <c r="AK106" s="341">
        <f>AI106/R106</f>
        <v>0.28000000000000003</v>
      </c>
      <c r="AL106" s="342"/>
      <c r="AM106" s="342"/>
      <c r="AN106" s="336">
        <v>34</v>
      </c>
      <c r="AO106" s="336">
        <v>34</v>
      </c>
      <c r="AP106" s="345">
        <v>1</v>
      </c>
      <c r="AQ106" s="342"/>
      <c r="AR106" s="349"/>
      <c r="AS106" s="351"/>
      <c r="AT106" s="328"/>
      <c r="AU106" s="328"/>
      <c r="AV106" s="328"/>
      <c r="AW106" s="249">
        <f>AN106+AI106+AA106</f>
        <v>53</v>
      </c>
      <c r="AX106" s="244">
        <f>AO106+AJ106+AA106</f>
        <v>53</v>
      </c>
      <c r="AY106" s="226">
        <v>1</v>
      </c>
      <c r="AZ106" s="227"/>
      <c r="BA106" s="230"/>
      <c r="BB106" s="230"/>
      <c r="BC106" s="305" t="s">
        <v>194</v>
      </c>
      <c r="BD106" s="293" t="s">
        <v>352</v>
      </c>
      <c r="BE106" s="293" t="s">
        <v>317</v>
      </c>
      <c r="BF106" s="293" t="s">
        <v>339</v>
      </c>
      <c r="BG106" s="301"/>
      <c r="BH106" s="303" t="s">
        <v>145</v>
      </c>
      <c r="BI106" s="520" t="s">
        <v>31</v>
      </c>
      <c r="BJ106" s="521"/>
      <c r="BK106" s="522"/>
      <c r="BL106" s="464"/>
      <c r="BM106" s="464"/>
      <c r="BN106" s="593"/>
      <c r="BO106" s="314"/>
      <c r="BP106" s="314"/>
      <c r="BQ106" s="281"/>
      <c r="BR106" s="617"/>
      <c r="BS106" s="617"/>
      <c r="BT106" s="648"/>
      <c r="BU106" s="314"/>
      <c r="BV106" s="314"/>
      <c r="BW106" s="281"/>
      <c r="BX106" s="314"/>
      <c r="BY106" s="314"/>
      <c r="BZ106" s="281"/>
      <c r="CA106" s="684"/>
      <c r="CB106" s="648"/>
      <c r="CC106" s="314"/>
      <c r="CD106" s="314"/>
      <c r="CE106" s="281"/>
      <c r="CF106" s="289"/>
      <c r="CG106" s="289"/>
      <c r="CH106" s="291"/>
      <c r="CI106" s="275"/>
      <c r="CJ106" s="275"/>
      <c r="CK106" s="284"/>
    </row>
    <row r="107" spans="1:136" ht="15" customHeight="1" x14ac:dyDescent="0.25">
      <c r="D107" s="461"/>
      <c r="E107" s="308"/>
      <c r="F107" s="308"/>
      <c r="G107" s="308"/>
      <c r="H107" s="308"/>
      <c r="I107" s="308"/>
      <c r="J107" s="308"/>
      <c r="K107" s="308"/>
      <c r="L107" s="397"/>
      <c r="M107" s="397"/>
      <c r="N107" s="308"/>
      <c r="O107" s="308"/>
      <c r="P107" s="408"/>
      <c r="Q107" s="293"/>
      <c r="R107" s="411"/>
      <c r="S107" s="565"/>
      <c r="T107" s="588"/>
      <c r="U107" s="400"/>
      <c r="V107" s="437"/>
      <c r="W107" s="433"/>
      <c r="X107" s="379"/>
      <c r="Y107" s="342"/>
      <c r="Z107" s="342"/>
      <c r="AA107" s="595"/>
      <c r="AB107" s="596"/>
      <c r="AC107" s="584"/>
      <c r="AD107" s="584"/>
      <c r="AE107" s="328"/>
      <c r="AF107" s="239"/>
      <c r="AG107" s="236"/>
      <c r="AH107" s="236"/>
      <c r="AI107" s="381"/>
      <c r="AJ107" s="381"/>
      <c r="AK107" s="342"/>
      <c r="AL107" s="342"/>
      <c r="AM107" s="342"/>
      <c r="AN107" s="337"/>
      <c r="AO107" s="337"/>
      <c r="AP107" s="347"/>
      <c r="AQ107" s="342"/>
      <c r="AR107" s="349"/>
      <c r="AS107" s="351"/>
      <c r="AT107" s="328"/>
      <c r="AU107" s="328"/>
      <c r="AV107" s="328"/>
      <c r="AW107" s="241"/>
      <c r="AX107" s="245"/>
      <c r="AY107" s="227"/>
      <c r="AZ107" s="227"/>
      <c r="BA107" s="230"/>
      <c r="BB107" s="230"/>
      <c r="BC107" s="306"/>
      <c r="BD107" s="362"/>
      <c r="BE107" s="362"/>
      <c r="BF107" s="362"/>
      <c r="BG107" s="301"/>
      <c r="BH107" s="308"/>
      <c r="BI107" s="523"/>
      <c r="BJ107" s="524"/>
      <c r="BK107" s="525"/>
      <c r="BL107" s="464"/>
      <c r="BM107" s="464"/>
      <c r="BN107" s="593"/>
      <c r="BO107" s="314"/>
      <c r="BP107" s="314"/>
      <c r="BQ107" s="281"/>
      <c r="BR107" s="617"/>
      <c r="BS107" s="617"/>
      <c r="BT107" s="648"/>
      <c r="BU107" s="314"/>
      <c r="BV107" s="314"/>
      <c r="BW107" s="281"/>
      <c r="BX107" s="314"/>
      <c r="BY107" s="314"/>
      <c r="BZ107" s="281"/>
      <c r="CA107" s="684"/>
      <c r="CB107" s="648"/>
      <c r="CC107" s="314"/>
      <c r="CD107" s="314"/>
      <c r="CE107" s="281"/>
      <c r="CF107" s="289"/>
      <c r="CG107" s="289"/>
      <c r="CH107" s="291"/>
      <c r="CI107" s="275"/>
      <c r="CJ107" s="275"/>
      <c r="CK107" s="284"/>
    </row>
    <row r="108" spans="1:136" ht="92.25" customHeight="1" x14ac:dyDescent="0.25">
      <c r="D108" s="461"/>
      <c r="E108" s="308"/>
      <c r="F108" s="308"/>
      <c r="G108" s="308"/>
      <c r="H108" s="308"/>
      <c r="I108" s="308"/>
      <c r="J108" s="308"/>
      <c r="K108" s="308"/>
      <c r="L108" s="397"/>
      <c r="M108" s="397"/>
      <c r="N108" s="308"/>
      <c r="O108" s="308"/>
      <c r="P108" s="408"/>
      <c r="Q108" s="293"/>
      <c r="R108" s="411"/>
      <c r="S108" s="565"/>
      <c r="T108" s="588"/>
      <c r="U108" s="400"/>
      <c r="V108" s="437"/>
      <c r="W108" s="433"/>
      <c r="X108" s="379"/>
      <c r="Y108" s="342"/>
      <c r="Z108" s="342"/>
      <c r="AA108" s="595"/>
      <c r="AB108" s="596"/>
      <c r="AC108" s="584"/>
      <c r="AD108" s="584"/>
      <c r="AE108" s="328"/>
      <c r="AF108" s="239"/>
      <c r="AG108" s="236"/>
      <c r="AH108" s="236"/>
      <c r="AI108" s="381"/>
      <c r="AJ108" s="381"/>
      <c r="AK108" s="342"/>
      <c r="AL108" s="342"/>
      <c r="AM108" s="342"/>
      <c r="AN108" s="337"/>
      <c r="AO108" s="337"/>
      <c r="AP108" s="347"/>
      <c r="AQ108" s="342"/>
      <c r="AR108" s="349"/>
      <c r="AS108" s="351"/>
      <c r="AT108" s="328"/>
      <c r="AU108" s="328"/>
      <c r="AV108" s="328"/>
      <c r="AW108" s="241"/>
      <c r="AX108" s="245"/>
      <c r="AY108" s="227"/>
      <c r="AZ108" s="227"/>
      <c r="BA108" s="230"/>
      <c r="BB108" s="230"/>
      <c r="BC108" s="306"/>
      <c r="BD108" s="362"/>
      <c r="BE108" s="362"/>
      <c r="BF108" s="362"/>
      <c r="BG108" s="301"/>
      <c r="BH108" s="308"/>
      <c r="BI108" s="526"/>
      <c r="BJ108" s="527"/>
      <c r="BK108" s="528"/>
      <c r="BL108" s="464"/>
      <c r="BM108" s="464"/>
      <c r="BN108" s="593"/>
      <c r="BO108" s="314"/>
      <c r="BP108" s="314"/>
      <c r="BQ108" s="281"/>
      <c r="BR108" s="617"/>
      <c r="BS108" s="617"/>
      <c r="BT108" s="648"/>
      <c r="BU108" s="314"/>
      <c r="BV108" s="314"/>
      <c r="BW108" s="281"/>
      <c r="BX108" s="314"/>
      <c r="BY108" s="314"/>
      <c r="BZ108" s="281"/>
      <c r="CA108" s="684"/>
      <c r="CB108" s="648"/>
      <c r="CC108" s="314"/>
      <c r="CD108" s="314"/>
      <c r="CE108" s="281"/>
      <c r="CF108" s="289"/>
      <c r="CG108" s="289"/>
      <c r="CH108" s="291"/>
      <c r="CI108" s="275"/>
      <c r="CJ108" s="275"/>
      <c r="CK108" s="284"/>
    </row>
    <row r="109" spans="1:136" ht="51" customHeight="1" x14ac:dyDescent="0.25">
      <c r="D109" s="461"/>
      <c r="E109" s="308"/>
      <c r="F109" s="308"/>
      <c r="G109" s="308"/>
      <c r="H109" s="308"/>
      <c r="I109" s="308"/>
      <c r="J109" s="308"/>
      <c r="K109" s="308"/>
      <c r="L109" s="397"/>
      <c r="M109" s="397"/>
      <c r="N109" s="308"/>
      <c r="O109" s="308"/>
      <c r="P109" s="408"/>
      <c r="Q109" s="293"/>
      <c r="R109" s="411"/>
      <c r="S109" s="565"/>
      <c r="T109" s="588"/>
      <c r="U109" s="400"/>
      <c r="V109" s="437"/>
      <c r="W109" s="433"/>
      <c r="X109" s="379"/>
      <c r="Y109" s="342"/>
      <c r="Z109" s="342"/>
      <c r="AA109" s="595"/>
      <c r="AB109" s="596"/>
      <c r="AC109" s="584"/>
      <c r="AD109" s="584"/>
      <c r="AE109" s="328"/>
      <c r="AF109" s="239"/>
      <c r="AG109" s="236"/>
      <c r="AH109" s="236"/>
      <c r="AI109" s="381"/>
      <c r="AJ109" s="381"/>
      <c r="AK109" s="342"/>
      <c r="AL109" s="342"/>
      <c r="AM109" s="342"/>
      <c r="AN109" s="337"/>
      <c r="AO109" s="337"/>
      <c r="AP109" s="347"/>
      <c r="AQ109" s="342"/>
      <c r="AR109" s="349"/>
      <c r="AS109" s="351"/>
      <c r="AT109" s="328"/>
      <c r="AU109" s="328"/>
      <c r="AV109" s="328"/>
      <c r="AW109" s="241"/>
      <c r="AX109" s="245"/>
      <c r="AY109" s="227"/>
      <c r="AZ109" s="227"/>
      <c r="BA109" s="230"/>
      <c r="BB109" s="230"/>
      <c r="BC109" s="306"/>
      <c r="BD109" s="362"/>
      <c r="BE109" s="362"/>
      <c r="BF109" s="362"/>
      <c r="BG109" s="301"/>
      <c r="BH109" s="308"/>
      <c r="BI109" s="503" t="s">
        <v>31</v>
      </c>
      <c r="BJ109" s="503"/>
      <c r="BK109" s="503"/>
      <c r="BL109" s="464"/>
      <c r="BM109" s="464"/>
      <c r="BN109" s="593"/>
      <c r="BO109" s="314"/>
      <c r="BP109" s="314"/>
      <c r="BQ109" s="281"/>
      <c r="BR109" s="617"/>
      <c r="BS109" s="617"/>
      <c r="BT109" s="648"/>
      <c r="BU109" s="314"/>
      <c r="BV109" s="314"/>
      <c r="BW109" s="281"/>
      <c r="BX109" s="314"/>
      <c r="BY109" s="314"/>
      <c r="BZ109" s="281"/>
      <c r="CA109" s="684"/>
      <c r="CB109" s="648"/>
      <c r="CC109" s="314"/>
      <c r="CD109" s="314"/>
      <c r="CE109" s="281"/>
      <c r="CF109" s="289"/>
      <c r="CG109" s="289"/>
      <c r="CH109" s="291"/>
      <c r="CI109" s="275"/>
      <c r="CJ109" s="275"/>
      <c r="CK109" s="284"/>
      <c r="CM109" s="76"/>
    </row>
    <row r="110" spans="1:136" ht="58.5" customHeight="1" x14ac:dyDescent="0.25">
      <c r="B110" s="28"/>
      <c r="C110" s="28"/>
      <c r="D110" s="461"/>
      <c r="E110" s="308"/>
      <c r="F110" s="308"/>
      <c r="G110" s="308"/>
      <c r="H110" s="304"/>
      <c r="I110" s="304"/>
      <c r="J110" s="304"/>
      <c r="K110" s="304"/>
      <c r="L110" s="398"/>
      <c r="M110" s="398"/>
      <c r="N110" s="304"/>
      <c r="O110" s="304"/>
      <c r="P110" s="409"/>
      <c r="Q110" s="294"/>
      <c r="R110" s="412"/>
      <c r="S110" s="565"/>
      <c r="T110" s="588"/>
      <c r="U110" s="401"/>
      <c r="V110" s="438"/>
      <c r="W110" s="433"/>
      <c r="X110" s="379"/>
      <c r="Y110" s="342"/>
      <c r="Z110" s="342"/>
      <c r="AA110" s="595"/>
      <c r="AB110" s="596"/>
      <c r="AC110" s="585"/>
      <c r="AD110" s="585"/>
      <c r="AE110" s="328"/>
      <c r="AF110" s="239"/>
      <c r="AG110" s="236"/>
      <c r="AH110" s="236"/>
      <c r="AI110" s="382"/>
      <c r="AJ110" s="382"/>
      <c r="AK110" s="343"/>
      <c r="AL110" s="343"/>
      <c r="AM110" s="342"/>
      <c r="AN110" s="338"/>
      <c r="AO110" s="338"/>
      <c r="AP110" s="346"/>
      <c r="AQ110" s="343"/>
      <c r="AR110" s="349"/>
      <c r="AS110" s="351"/>
      <c r="AT110" s="329"/>
      <c r="AU110" s="328"/>
      <c r="AV110" s="328"/>
      <c r="AW110" s="241"/>
      <c r="AX110" s="246"/>
      <c r="AY110" s="228"/>
      <c r="AZ110" s="227"/>
      <c r="BA110" s="230"/>
      <c r="BB110" s="230"/>
      <c r="BC110" s="307"/>
      <c r="BD110" s="363"/>
      <c r="BE110" s="363"/>
      <c r="BF110" s="363"/>
      <c r="BG110" s="301"/>
      <c r="BH110" s="304"/>
      <c r="BI110" s="503"/>
      <c r="BJ110" s="503"/>
      <c r="BK110" s="503"/>
      <c r="BL110" s="465"/>
      <c r="BM110" s="465"/>
      <c r="BN110" s="594"/>
      <c r="BO110" s="315"/>
      <c r="BP110" s="315"/>
      <c r="BQ110" s="282"/>
      <c r="BR110" s="617"/>
      <c r="BS110" s="617"/>
      <c r="BT110" s="648"/>
      <c r="BU110" s="315"/>
      <c r="BV110" s="315"/>
      <c r="BW110" s="282"/>
      <c r="BX110" s="315"/>
      <c r="BY110" s="315"/>
      <c r="BZ110" s="282"/>
      <c r="CA110" s="684"/>
      <c r="CB110" s="648"/>
      <c r="CC110" s="315"/>
      <c r="CD110" s="315"/>
      <c r="CE110" s="282"/>
      <c r="CF110" s="290"/>
      <c r="CG110" s="290"/>
      <c r="CH110" s="287"/>
      <c r="CI110" s="275"/>
      <c r="CJ110" s="275"/>
      <c r="CK110" s="284"/>
    </row>
    <row r="111" spans="1:136" s="29" customFormat="1" ht="70.5" customHeight="1" x14ac:dyDescent="0.25">
      <c r="A111" s="28"/>
      <c r="B111" s="28"/>
      <c r="C111" s="28"/>
      <c r="D111" s="461"/>
      <c r="E111" s="308"/>
      <c r="F111" s="308"/>
      <c r="G111" s="308"/>
      <c r="H111" s="475" t="s">
        <v>146</v>
      </c>
      <c r="I111" s="303" t="s">
        <v>147</v>
      </c>
      <c r="J111" s="303" t="s">
        <v>148</v>
      </c>
      <c r="K111" s="303" t="s">
        <v>147</v>
      </c>
      <c r="L111" s="396">
        <v>1</v>
      </c>
      <c r="M111" s="396">
        <v>1</v>
      </c>
      <c r="N111" s="292" t="s">
        <v>149</v>
      </c>
      <c r="O111" s="292">
        <v>0.25</v>
      </c>
      <c r="P111" s="569">
        <v>0.25</v>
      </c>
      <c r="Q111" s="292" t="s">
        <v>175</v>
      </c>
      <c r="R111" s="407">
        <v>0.25</v>
      </c>
      <c r="S111" s="410">
        <f>0.25/4</f>
        <v>6.25E-2</v>
      </c>
      <c r="T111" s="410">
        <f>0.25/4</f>
        <v>6.25E-2</v>
      </c>
      <c r="U111" s="501">
        <f>T111/R111</f>
        <v>0.25</v>
      </c>
      <c r="V111" s="439">
        <f>T111/P111</f>
        <v>0.25</v>
      </c>
      <c r="W111" s="433"/>
      <c r="X111" s="341">
        <f>S111/R111</f>
        <v>0.25</v>
      </c>
      <c r="Y111" s="342"/>
      <c r="Z111" s="342"/>
      <c r="AA111" s="597">
        <f>0.25/4+0.0625</f>
        <v>0.125</v>
      </c>
      <c r="AB111" s="597">
        <v>6.25E-2</v>
      </c>
      <c r="AC111" s="583">
        <f>AA111/P111</f>
        <v>0.5</v>
      </c>
      <c r="AD111" s="583">
        <f>AA111/R111</f>
        <v>0.5</v>
      </c>
      <c r="AE111" s="328"/>
      <c r="AF111" s="239">
        <f>AB111/P111</f>
        <v>0.25</v>
      </c>
      <c r="AG111" s="236"/>
      <c r="AH111" s="236"/>
      <c r="AI111" s="383">
        <v>6.25E-2</v>
      </c>
      <c r="AJ111" s="383">
        <v>6.25E-2</v>
      </c>
      <c r="AK111" s="341">
        <f>AI111/R111</f>
        <v>0.25</v>
      </c>
      <c r="AL111" s="379">
        <f>AJ111/R111</f>
        <v>0.25</v>
      </c>
      <c r="AM111" s="342"/>
      <c r="AN111" s="344">
        <v>6.25E-2</v>
      </c>
      <c r="AO111" s="344">
        <v>6.25E-2</v>
      </c>
      <c r="AP111" s="345">
        <f>AN111/P111</f>
        <v>0.25</v>
      </c>
      <c r="AQ111" s="341">
        <f>AN111/R111</f>
        <v>0.25</v>
      </c>
      <c r="AR111" s="349"/>
      <c r="AS111" s="351"/>
      <c r="AT111" s="327">
        <f>AW111/R111</f>
        <v>1</v>
      </c>
      <c r="AU111" s="328"/>
      <c r="AV111" s="328"/>
      <c r="AW111" s="252">
        <f>AA111+AI111+AN111</f>
        <v>0.25</v>
      </c>
      <c r="AX111" s="247">
        <f>AO111+AJ111+AA111</f>
        <v>0.25</v>
      </c>
      <c r="AY111" s="226">
        <f>AX111/R111</f>
        <v>1</v>
      </c>
      <c r="AZ111" s="227"/>
      <c r="BA111" s="230"/>
      <c r="BB111" s="230"/>
      <c r="BC111" s="305" t="s">
        <v>211</v>
      </c>
      <c r="BD111" s="309" t="s">
        <v>237</v>
      </c>
      <c r="BE111" s="309" t="s">
        <v>284</v>
      </c>
      <c r="BF111" s="309" t="s">
        <v>340</v>
      </c>
      <c r="BG111" s="301"/>
      <c r="BH111" s="303" t="s">
        <v>150</v>
      </c>
      <c r="BI111" s="520" t="s">
        <v>88</v>
      </c>
      <c r="BJ111" s="521"/>
      <c r="BK111" s="522"/>
      <c r="BL111" s="463" t="s">
        <v>151</v>
      </c>
      <c r="BM111" s="463">
        <v>0</v>
      </c>
      <c r="BN111" s="589">
        <v>0</v>
      </c>
      <c r="BO111" s="391">
        <v>0</v>
      </c>
      <c r="BP111" s="391">
        <v>0</v>
      </c>
      <c r="BQ111" s="391">
        <v>0</v>
      </c>
      <c r="BR111" s="617"/>
      <c r="BS111" s="617"/>
      <c r="BT111" s="648"/>
      <c r="BU111" s="391">
        <v>0</v>
      </c>
      <c r="BV111" s="391">
        <v>0</v>
      </c>
      <c r="BW111" s="391">
        <v>0</v>
      </c>
      <c r="BX111" s="391"/>
      <c r="BY111" s="391"/>
      <c r="BZ111" s="391"/>
      <c r="CA111" s="684"/>
      <c r="CB111" s="648"/>
      <c r="CC111" s="391">
        <v>0</v>
      </c>
      <c r="CD111" s="391">
        <v>0</v>
      </c>
      <c r="CE111" s="391">
        <v>0</v>
      </c>
      <c r="CF111" s="319">
        <v>0</v>
      </c>
      <c r="CG111" s="319">
        <v>0</v>
      </c>
      <c r="CH111" s="321">
        <v>0</v>
      </c>
      <c r="CI111" s="275"/>
      <c r="CJ111" s="275"/>
      <c r="CK111" s="284"/>
      <c r="CL111" s="28"/>
      <c r="CM111" s="28"/>
      <c r="CN111" s="28"/>
      <c r="CO111" s="28"/>
      <c r="CP111" s="28"/>
      <c r="CQ111" s="28"/>
      <c r="CR111" s="28"/>
      <c r="CS111" s="28"/>
      <c r="CT111" s="28"/>
      <c r="CU111" s="28"/>
      <c r="CV111" s="28"/>
      <c r="CW111" s="28"/>
      <c r="CX111" s="28"/>
      <c r="CY111" s="28"/>
      <c r="CZ111" s="28"/>
      <c r="DA111" s="28"/>
      <c r="DB111" s="28"/>
      <c r="DC111" s="28"/>
      <c r="DD111" s="28"/>
      <c r="DE111" s="28"/>
      <c r="DF111" s="28"/>
      <c r="DG111" s="28"/>
      <c r="DH111" s="28"/>
      <c r="DI111" s="28"/>
      <c r="DJ111" s="28"/>
      <c r="DK111" s="28"/>
      <c r="DL111" s="28"/>
      <c r="DM111" s="28"/>
      <c r="DN111" s="28"/>
      <c r="DO111" s="28"/>
      <c r="DP111" s="28"/>
      <c r="DQ111" s="28"/>
      <c r="DR111" s="28"/>
      <c r="DS111" s="28"/>
      <c r="DT111" s="28"/>
      <c r="DU111" s="28"/>
      <c r="DV111" s="28"/>
      <c r="DW111" s="28"/>
      <c r="DX111" s="28"/>
      <c r="DY111" s="28"/>
      <c r="DZ111" s="28"/>
      <c r="EA111" s="28"/>
      <c r="EB111" s="28"/>
      <c r="EC111" s="28"/>
      <c r="ED111" s="28"/>
      <c r="EE111" s="28"/>
      <c r="EF111" s="28"/>
    </row>
    <row r="112" spans="1:136" s="29" customFormat="1" ht="256.5" customHeight="1" x14ac:dyDescent="0.25">
      <c r="A112" s="28"/>
      <c r="B112" s="28"/>
      <c r="C112" s="28"/>
      <c r="D112" s="461"/>
      <c r="E112" s="308"/>
      <c r="F112" s="304"/>
      <c r="G112" s="304"/>
      <c r="H112" s="475"/>
      <c r="I112" s="304"/>
      <c r="J112" s="304"/>
      <c r="K112" s="304"/>
      <c r="L112" s="398"/>
      <c r="M112" s="398"/>
      <c r="N112" s="294"/>
      <c r="O112" s="294"/>
      <c r="P112" s="570"/>
      <c r="Q112" s="294"/>
      <c r="R112" s="409"/>
      <c r="S112" s="412"/>
      <c r="T112" s="412"/>
      <c r="U112" s="501"/>
      <c r="V112" s="439"/>
      <c r="W112" s="434"/>
      <c r="X112" s="343"/>
      <c r="Y112" s="343"/>
      <c r="Z112" s="342"/>
      <c r="AA112" s="598"/>
      <c r="AB112" s="598"/>
      <c r="AC112" s="585"/>
      <c r="AD112" s="585"/>
      <c r="AE112" s="329"/>
      <c r="AF112" s="239"/>
      <c r="AG112" s="237"/>
      <c r="AH112" s="236"/>
      <c r="AI112" s="383"/>
      <c r="AJ112" s="383"/>
      <c r="AK112" s="343"/>
      <c r="AL112" s="379"/>
      <c r="AM112" s="343"/>
      <c r="AN112" s="344"/>
      <c r="AO112" s="344"/>
      <c r="AP112" s="346"/>
      <c r="AQ112" s="343"/>
      <c r="AR112" s="349"/>
      <c r="AS112" s="351"/>
      <c r="AT112" s="329"/>
      <c r="AU112" s="329"/>
      <c r="AV112" s="328"/>
      <c r="AW112" s="252"/>
      <c r="AX112" s="248"/>
      <c r="AY112" s="228"/>
      <c r="AZ112" s="228"/>
      <c r="BA112" s="231"/>
      <c r="BB112" s="230"/>
      <c r="BC112" s="307"/>
      <c r="BD112" s="656"/>
      <c r="BE112" s="656"/>
      <c r="BF112" s="656"/>
      <c r="BG112" s="302"/>
      <c r="BH112" s="304"/>
      <c r="BI112" s="526"/>
      <c r="BJ112" s="527"/>
      <c r="BK112" s="528"/>
      <c r="BL112" s="465"/>
      <c r="BM112" s="465"/>
      <c r="BN112" s="590"/>
      <c r="BO112" s="392"/>
      <c r="BP112" s="392"/>
      <c r="BQ112" s="392"/>
      <c r="BR112" s="618"/>
      <c r="BS112" s="618"/>
      <c r="BT112" s="649"/>
      <c r="BU112" s="392"/>
      <c r="BV112" s="392"/>
      <c r="BW112" s="392"/>
      <c r="BX112" s="392"/>
      <c r="BY112" s="392"/>
      <c r="BZ112" s="392"/>
      <c r="CA112" s="685"/>
      <c r="CB112" s="649"/>
      <c r="CC112" s="392"/>
      <c r="CD112" s="392"/>
      <c r="CE112" s="392"/>
      <c r="CF112" s="320"/>
      <c r="CG112" s="320"/>
      <c r="CH112" s="322"/>
      <c r="CI112" s="276"/>
      <c r="CJ112" s="276"/>
      <c r="CK112" s="285"/>
      <c r="CL112" s="28"/>
      <c r="CM112" s="28"/>
      <c r="CN112" s="28"/>
      <c r="CO112" s="28"/>
      <c r="CP112" s="28"/>
      <c r="CQ112" s="28"/>
      <c r="CR112" s="28"/>
      <c r="CS112" s="28"/>
      <c r="CT112" s="28"/>
      <c r="CU112" s="28"/>
      <c r="CV112" s="28"/>
      <c r="CW112" s="28"/>
      <c r="CX112" s="28"/>
      <c r="CY112" s="28"/>
      <c r="CZ112" s="28"/>
      <c r="DA112" s="28"/>
      <c r="DB112" s="28"/>
      <c r="DC112" s="702"/>
      <c r="DD112" s="28"/>
      <c r="DE112" s="28"/>
      <c r="DF112" s="28"/>
      <c r="DG112" s="28"/>
      <c r="DH112" s="28"/>
      <c r="DI112" s="28"/>
      <c r="DJ112" s="28"/>
      <c r="DK112" s="28"/>
      <c r="DL112" s="28"/>
      <c r="DM112" s="28"/>
      <c r="DN112" s="28"/>
      <c r="DO112" s="28"/>
      <c r="DP112" s="28"/>
      <c r="DQ112" s="28"/>
      <c r="DR112" s="28"/>
      <c r="DS112" s="28"/>
      <c r="DT112" s="28"/>
      <c r="DU112" s="28"/>
      <c r="DV112" s="28"/>
      <c r="DW112" s="28"/>
      <c r="DX112" s="28"/>
      <c r="DY112" s="28"/>
      <c r="DZ112" s="28"/>
      <c r="EA112" s="28"/>
      <c r="EB112" s="28"/>
      <c r="EC112" s="28"/>
      <c r="ED112" s="28"/>
      <c r="EE112" s="28"/>
      <c r="EF112" s="28"/>
    </row>
    <row r="113" spans="4:89" ht="15" customHeight="1" x14ac:dyDescent="0.25">
      <c r="D113" s="461"/>
      <c r="E113" s="308"/>
      <c r="F113" s="475" t="s">
        <v>152</v>
      </c>
      <c r="G113" s="475" t="s">
        <v>153</v>
      </c>
      <c r="H113" s="479" t="s">
        <v>154</v>
      </c>
      <c r="I113" s="303" t="s">
        <v>152</v>
      </c>
      <c r="J113" s="419">
        <v>7595</v>
      </c>
      <c r="K113" s="303" t="s">
        <v>152</v>
      </c>
      <c r="L113" s="509">
        <v>7405</v>
      </c>
      <c r="M113" s="509">
        <v>1898</v>
      </c>
      <c r="N113" s="292" t="s">
        <v>155</v>
      </c>
      <c r="O113" s="295">
        <v>3080</v>
      </c>
      <c r="P113" s="426">
        <v>1899</v>
      </c>
      <c r="Q113" s="423" t="s">
        <v>176</v>
      </c>
      <c r="R113" s="426">
        <v>1899</v>
      </c>
      <c r="S113" s="563">
        <f>80+200+80+80+80+120</f>
        <v>640</v>
      </c>
      <c r="T113" s="563">
        <f>80+200+80+80+80+120</f>
        <v>640</v>
      </c>
      <c r="U113" s="141"/>
      <c r="V113" s="436">
        <f>T113/R113</f>
        <v>0.33701948393891523</v>
      </c>
      <c r="W113" s="432">
        <f>(V113+V121+V123)/3</f>
        <v>0.27900649464630506</v>
      </c>
      <c r="X113" s="379">
        <f>S113/R113</f>
        <v>0.33701948393891523</v>
      </c>
      <c r="Y113" s="341">
        <f>(X113+X121+X123)/3</f>
        <v>0.27900649464630506</v>
      </c>
      <c r="Z113" s="342"/>
      <c r="AA113" s="579">
        <f>80+200+80+80+80+120+80+800</f>
        <v>1520</v>
      </c>
      <c r="AB113" s="579">
        <f>80+200+80+80+80+120+80+800</f>
        <v>1520</v>
      </c>
      <c r="AC113" s="583">
        <f>AA113/P113</f>
        <v>0.80042127435492361</v>
      </c>
      <c r="AD113" s="583">
        <f>AA113/R113</f>
        <v>0.80042127435492361</v>
      </c>
      <c r="AE113" s="327">
        <f>(AD113+AD121+AD123)/3</f>
        <v>0.60014042478497454</v>
      </c>
      <c r="AF113" s="239">
        <f>AB113/P113</f>
        <v>0.80042127435492361</v>
      </c>
      <c r="AG113" s="239">
        <f>(AF113+AF121+AF123)/3</f>
        <v>0.43347375811830791</v>
      </c>
      <c r="AH113" s="236"/>
      <c r="AI113" s="380">
        <v>500</v>
      </c>
      <c r="AJ113" s="384">
        <v>500</v>
      </c>
      <c r="AK113" s="379">
        <f>AI113/R113</f>
        <v>0.2632964718272775</v>
      </c>
      <c r="AL113" s="341">
        <f>(AK113+AK121+AK1239/3)</f>
        <v>0.51329647182727745</v>
      </c>
      <c r="AM113" s="341">
        <f>(AL113+AL121+AL1239/3)</f>
        <v>0.51329647182727745</v>
      </c>
      <c r="AN113" s="336">
        <v>550</v>
      </c>
      <c r="AO113" s="339">
        <v>550</v>
      </c>
      <c r="AP113" s="340">
        <f>550/R113</f>
        <v>0.28962611901000529</v>
      </c>
      <c r="AQ113" s="341">
        <f>(AP113+AP121+AP123)/3</f>
        <v>0.26320870633666843</v>
      </c>
      <c r="AR113" s="341">
        <f>(AP113+AP121+AP123)/3</f>
        <v>0.26320870633666843</v>
      </c>
      <c r="AS113" s="351"/>
      <c r="AT113" s="327">
        <v>1</v>
      </c>
      <c r="AU113" s="327">
        <f>(AT113+AT121+AT123)/3</f>
        <v>0.83333333333333337</v>
      </c>
      <c r="AV113" s="328"/>
      <c r="AW113" s="249">
        <f>AB113+AI113+AN113</f>
        <v>2570</v>
      </c>
      <c r="AX113" s="249">
        <f>AO113+AJ113+AA113</f>
        <v>2570</v>
      </c>
      <c r="AY113" s="239">
        <v>1</v>
      </c>
      <c r="AZ113" s="226">
        <f>(AY113+AY121+AY123)/3</f>
        <v>1</v>
      </c>
      <c r="BA113" s="229">
        <f>(AY113+AY121+AY123)/3</f>
        <v>1</v>
      </c>
      <c r="BB113" s="230"/>
      <c r="BC113" s="305" t="s">
        <v>200</v>
      </c>
      <c r="BD113" s="309" t="s">
        <v>238</v>
      </c>
      <c r="BE113" s="309" t="s">
        <v>285</v>
      </c>
      <c r="BF113" s="309" t="s">
        <v>318</v>
      </c>
      <c r="BG113" s="572" t="s">
        <v>29</v>
      </c>
      <c r="BH113" s="303" t="s">
        <v>156</v>
      </c>
      <c r="BI113" s="520" t="s">
        <v>31</v>
      </c>
      <c r="BJ113" s="521"/>
      <c r="BK113" s="522"/>
      <c r="BL113" s="561" t="s">
        <v>157</v>
      </c>
      <c r="BM113" s="463" t="s">
        <v>297</v>
      </c>
      <c r="BN113" s="562">
        <v>427536167</v>
      </c>
      <c r="BO113" s="313">
        <v>427536167</v>
      </c>
      <c r="BP113" s="313">
        <v>372298221</v>
      </c>
      <c r="BQ113" s="280">
        <f>BP113/BO113</f>
        <v>0.87079936093453347</v>
      </c>
      <c r="BR113" s="616">
        <v>462536167</v>
      </c>
      <c r="BS113" s="616">
        <v>372298221</v>
      </c>
      <c r="BT113" s="647">
        <f>BS113/BR113</f>
        <v>0.80490618369309053</v>
      </c>
      <c r="BU113" s="313">
        <v>495798221</v>
      </c>
      <c r="BV113" s="313">
        <v>495798221</v>
      </c>
      <c r="BW113" s="280">
        <f>BV113/BU113</f>
        <v>1</v>
      </c>
      <c r="BX113" s="313"/>
      <c r="BY113" s="313"/>
      <c r="BZ113" s="280"/>
      <c r="CA113" s="683"/>
      <c r="CB113" s="647"/>
      <c r="CC113" s="313">
        <v>676617824</v>
      </c>
      <c r="CD113" s="313">
        <v>641617824</v>
      </c>
      <c r="CE113" s="280">
        <f>CD113/CC113</f>
        <v>0.94827212828493268</v>
      </c>
      <c r="CF113" s="288">
        <v>1245220091</v>
      </c>
      <c r="CG113" s="288">
        <v>923623046</v>
      </c>
      <c r="CH113" s="286">
        <f>CG113/CF113</f>
        <v>0.74173477658737841</v>
      </c>
      <c r="CI113" s="313">
        <v>1245220091</v>
      </c>
      <c r="CJ113" s="313">
        <v>923623046</v>
      </c>
      <c r="CK113" s="280">
        <f>CJ113/CI113</f>
        <v>0.74173477658737841</v>
      </c>
    </row>
    <row r="114" spans="4:89" ht="28.5" customHeight="1" x14ac:dyDescent="0.25">
      <c r="D114" s="461"/>
      <c r="E114" s="308"/>
      <c r="F114" s="475"/>
      <c r="G114" s="475"/>
      <c r="H114" s="479"/>
      <c r="I114" s="308"/>
      <c r="J114" s="308"/>
      <c r="K114" s="308"/>
      <c r="L114" s="397"/>
      <c r="M114" s="397"/>
      <c r="N114" s="293"/>
      <c r="O114" s="306"/>
      <c r="P114" s="408"/>
      <c r="Q114" s="424"/>
      <c r="R114" s="427"/>
      <c r="S114" s="563"/>
      <c r="T114" s="563"/>
      <c r="U114" s="400">
        <f>T113/R113</f>
        <v>0.33701948393891523</v>
      </c>
      <c r="V114" s="437"/>
      <c r="W114" s="433"/>
      <c r="X114" s="379"/>
      <c r="Y114" s="342"/>
      <c r="Z114" s="342"/>
      <c r="AA114" s="579"/>
      <c r="AB114" s="579"/>
      <c r="AC114" s="584"/>
      <c r="AD114" s="584"/>
      <c r="AE114" s="328"/>
      <c r="AF114" s="239"/>
      <c r="AG114" s="239"/>
      <c r="AH114" s="236"/>
      <c r="AI114" s="381"/>
      <c r="AJ114" s="384"/>
      <c r="AK114" s="379"/>
      <c r="AL114" s="342"/>
      <c r="AM114" s="342"/>
      <c r="AN114" s="337"/>
      <c r="AO114" s="339"/>
      <c r="AP114" s="340"/>
      <c r="AQ114" s="342"/>
      <c r="AR114" s="342"/>
      <c r="AS114" s="351"/>
      <c r="AT114" s="328"/>
      <c r="AU114" s="328"/>
      <c r="AV114" s="328"/>
      <c r="AW114" s="241"/>
      <c r="AX114" s="241"/>
      <c r="AY114" s="239"/>
      <c r="AZ114" s="227"/>
      <c r="BA114" s="230"/>
      <c r="BB114" s="230"/>
      <c r="BC114" s="306"/>
      <c r="BD114" s="309"/>
      <c r="BE114" s="309"/>
      <c r="BF114" s="309"/>
      <c r="BG114" s="573"/>
      <c r="BH114" s="308"/>
      <c r="BI114" s="523"/>
      <c r="BJ114" s="524"/>
      <c r="BK114" s="525"/>
      <c r="BL114" s="561"/>
      <c r="BM114" s="464"/>
      <c r="BN114" s="562"/>
      <c r="BO114" s="314"/>
      <c r="BP114" s="314"/>
      <c r="BQ114" s="281"/>
      <c r="BR114" s="617"/>
      <c r="BS114" s="617"/>
      <c r="BT114" s="648"/>
      <c r="BU114" s="314"/>
      <c r="BV114" s="314"/>
      <c r="BW114" s="281"/>
      <c r="BX114" s="314"/>
      <c r="BY114" s="314"/>
      <c r="BZ114" s="281"/>
      <c r="CA114" s="684"/>
      <c r="CB114" s="648"/>
      <c r="CC114" s="314"/>
      <c r="CD114" s="314"/>
      <c r="CE114" s="281"/>
      <c r="CF114" s="289"/>
      <c r="CG114" s="289"/>
      <c r="CH114" s="291"/>
      <c r="CI114" s="314"/>
      <c r="CJ114" s="314"/>
      <c r="CK114" s="281"/>
    </row>
    <row r="115" spans="4:89" ht="28.5" customHeight="1" x14ac:dyDescent="0.25">
      <c r="D115" s="461"/>
      <c r="E115" s="308"/>
      <c r="F115" s="475"/>
      <c r="G115" s="475"/>
      <c r="H115" s="479"/>
      <c r="I115" s="308"/>
      <c r="J115" s="308"/>
      <c r="K115" s="308"/>
      <c r="L115" s="397"/>
      <c r="M115" s="397"/>
      <c r="N115" s="293"/>
      <c r="O115" s="306"/>
      <c r="P115" s="408"/>
      <c r="Q115" s="424"/>
      <c r="R115" s="427"/>
      <c r="S115" s="563"/>
      <c r="T115" s="563"/>
      <c r="U115" s="400"/>
      <c r="V115" s="437"/>
      <c r="W115" s="433"/>
      <c r="X115" s="379"/>
      <c r="Y115" s="342"/>
      <c r="Z115" s="342"/>
      <c r="AA115" s="579"/>
      <c r="AB115" s="579"/>
      <c r="AC115" s="584"/>
      <c r="AD115" s="584"/>
      <c r="AE115" s="328"/>
      <c r="AF115" s="239"/>
      <c r="AG115" s="239"/>
      <c r="AH115" s="236"/>
      <c r="AI115" s="381"/>
      <c r="AJ115" s="384"/>
      <c r="AK115" s="379"/>
      <c r="AL115" s="342"/>
      <c r="AM115" s="342"/>
      <c r="AN115" s="337"/>
      <c r="AO115" s="339"/>
      <c r="AP115" s="340"/>
      <c r="AQ115" s="342"/>
      <c r="AR115" s="342"/>
      <c r="AS115" s="351"/>
      <c r="AT115" s="328"/>
      <c r="AU115" s="328"/>
      <c r="AV115" s="328"/>
      <c r="AW115" s="241"/>
      <c r="AX115" s="241"/>
      <c r="AY115" s="239"/>
      <c r="AZ115" s="227"/>
      <c r="BA115" s="230"/>
      <c r="BB115" s="230"/>
      <c r="BC115" s="306"/>
      <c r="BD115" s="309"/>
      <c r="BE115" s="309"/>
      <c r="BF115" s="309"/>
      <c r="BG115" s="573"/>
      <c r="BH115" s="308"/>
      <c r="BI115" s="523"/>
      <c r="BJ115" s="524"/>
      <c r="BK115" s="525"/>
      <c r="BL115" s="561"/>
      <c r="BM115" s="464"/>
      <c r="BN115" s="562"/>
      <c r="BO115" s="314"/>
      <c r="BP115" s="314"/>
      <c r="BQ115" s="281"/>
      <c r="BR115" s="617"/>
      <c r="BS115" s="617"/>
      <c r="BT115" s="648"/>
      <c r="BU115" s="314"/>
      <c r="BV115" s="314"/>
      <c r="BW115" s="281"/>
      <c r="BX115" s="314"/>
      <c r="BY115" s="314"/>
      <c r="BZ115" s="281"/>
      <c r="CA115" s="684"/>
      <c r="CB115" s="648"/>
      <c r="CC115" s="314"/>
      <c r="CD115" s="314"/>
      <c r="CE115" s="281"/>
      <c r="CF115" s="289"/>
      <c r="CG115" s="289"/>
      <c r="CH115" s="291"/>
      <c r="CI115" s="314"/>
      <c r="CJ115" s="314"/>
      <c r="CK115" s="281"/>
    </row>
    <row r="116" spans="4:89" ht="15" customHeight="1" x14ac:dyDescent="0.25">
      <c r="D116" s="461"/>
      <c r="E116" s="308"/>
      <c r="F116" s="475"/>
      <c r="G116" s="475"/>
      <c r="H116" s="479"/>
      <c r="I116" s="308"/>
      <c r="J116" s="308"/>
      <c r="K116" s="308"/>
      <c r="L116" s="397"/>
      <c r="M116" s="397"/>
      <c r="N116" s="293"/>
      <c r="O116" s="306"/>
      <c r="P116" s="408"/>
      <c r="Q116" s="424"/>
      <c r="R116" s="427"/>
      <c r="S116" s="563"/>
      <c r="T116" s="563"/>
      <c r="U116" s="400"/>
      <c r="V116" s="437"/>
      <c r="W116" s="433"/>
      <c r="X116" s="379"/>
      <c r="Y116" s="342"/>
      <c r="Z116" s="342"/>
      <c r="AA116" s="579"/>
      <c r="AB116" s="579"/>
      <c r="AC116" s="584"/>
      <c r="AD116" s="584"/>
      <c r="AE116" s="328"/>
      <c r="AF116" s="239"/>
      <c r="AG116" s="239"/>
      <c r="AH116" s="236"/>
      <c r="AI116" s="381"/>
      <c r="AJ116" s="384"/>
      <c r="AK116" s="379"/>
      <c r="AL116" s="342"/>
      <c r="AM116" s="342"/>
      <c r="AN116" s="337"/>
      <c r="AO116" s="339"/>
      <c r="AP116" s="340"/>
      <c r="AQ116" s="342"/>
      <c r="AR116" s="342"/>
      <c r="AS116" s="351"/>
      <c r="AT116" s="328"/>
      <c r="AU116" s="328"/>
      <c r="AV116" s="328"/>
      <c r="AW116" s="241"/>
      <c r="AX116" s="241"/>
      <c r="AY116" s="239"/>
      <c r="AZ116" s="227"/>
      <c r="BA116" s="230"/>
      <c r="BB116" s="230"/>
      <c r="BC116" s="306"/>
      <c r="BD116" s="309"/>
      <c r="BE116" s="309"/>
      <c r="BF116" s="309"/>
      <c r="BG116" s="573"/>
      <c r="BH116" s="308"/>
      <c r="BI116" s="523"/>
      <c r="BJ116" s="524"/>
      <c r="BK116" s="525"/>
      <c r="BL116" s="561"/>
      <c r="BM116" s="464"/>
      <c r="BN116" s="562"/>
      <c r="BO116" s="314"/>
      <c r="BP116" s="314"/>
      <c r="BQ116" s="281"/>
      <c r="BR116" s="617"/>
      <c r="BS116" s="617"/>
      <c r="BT116" s="648"/>
      <c r="BU116" s="314"/>
      <c r="BV116" s="314"/>
      <c r="BW116" s="281"/>
      <c r="BX116" s="314"/>
      <c r="BY116" s="314"/>
      <c r="BZ116" s="281"/>
      <c r="CA116" s="684"/>
      <c r="CB116" s="648"/>
      <c r="CC116" s="314"/>
      <c r="CD116" s="314"/>
      <c r="CE116" s="281"/>
      <c r="CF116" s="289"/>
      <c r="CG116" s="289"/>
      <c r="CH116" s="291"/>
      <c r="CI116" s="314"/>
      <c r="CJ116" s="314"/>
      <c r="CK116" s="281"/>
    </row>
    <row r="117" spans="4:89" ht="28.5" customHeight="1" x14ac:dyDescent="0.25">
      <c r="D117" s="461"/>
      <c r="E117" s="308"/>
      <c r="F117" s="475"/>
      <c r="G117" s="475"/>
      <c r="H117" s="479"/>
      <c r="I117" s="308"/>
      <c r="J117" s="308"/>
      <c r="K117" s="308"/>
      <c r="L117" s="397"/>
      <c r="M117" s="397"/>
      <c r="N117" s="293"/>
      <c r="O117" s="306"/>
      <c r="P117" s="408"/>
      <c r="Q117" s="424"/>
      <c r="R117" s="427"/>
      <c r="S117" s="563"/>
      <c r="T117" s="563"/>
      <c r="U117" s="400"/>
      <c r="V117" s="437"/>
      <c r="W117" s="433"/>
      <c r="X117" s="379"/>
      <c r="Y117" s="342"/>
      <c r="Z117" s="342"/>
      <c r="AA117" s="579"/>
      <c r="AB117" s="579"/>
      <c r="AC117" s="584"/>
      <c r="AD117" s="584"/>
      <c r="AE117" s="328"/>
      <c r="AF117" s="239"/>
      <c r="AG117" s="239"/>
      <c r="AH117" s="236"/>
      <c r="AI117" s="381"/>
      <c r="AJ117" s="384"/>
      <c r="AK117" s="379"/>
      <c r="AL117" s="342"/>
      <c r="AM117" s="342"/>
      <c r="AN117" s="337"/>
      <c r="AO117" s="339"/>
      <c r="AP117" s="340"/>
      <c r="AQ117" s="342"/>
      <c r="AR117" s="342"/>
      <c r="AS117" s="351"/>
      <c r="AT117" s="328"/>
      <c r="AU117" s="328"/>
      <c r="AV117" s="328"/>
      <c r="AW117" s="241"/>
      <c r="AX117" s="241"/>
      <c r="AY117" s="239"/>
      <c r="AZ117" s="227"/>
      <c r="BA117" s="230"/>
      <c r="BB117" s="230"/>
      <c r="BC117" s="306"/>
      <c r="BD117" s="309"/>
      <c r="BE117" s="309"/>
      <c r="BF117" s="309"/>
      <c r="BG117" s="573"/>
      <c r="BH117" s="308"/>
      <c r="BI117" s="523"/>
      <c r="BJ117" s="524"/>
      <c r="BK117" s="525"/>
      <c r="BL117" s="561"/>
      <c r="BM117" s="464"/>
      <c r="BN117" s="562"/>
      <c r="BO117" s="314"/>
      <c r="BP117" s="314"/>
      <c r="BQ117" s="281"/>
      <c r="BR117" s="617"/>
      <c r="BS117" s="617"/>
      <c r="BT117" s="648"/>
      <c r="BU117" s="314"/>
      <c r="BV117" s="314"/>
      <c r="BW117" s="281"/>
      <c r="BX117" s="314"/>
      <c r="BY117" s="314"/>
      <c r="BZ117" s="281"/>
      <c r="CA117" s="684"/>
      <c r="CB117" s="648"/>
      <c r="CC117" s="314"/>
      <c r="CD117" s="314"/>
      <c r="CE117" s="281"/>
      <c r="CF117" s="289"/>
      <c r="CG117" s="289"/>
      <c r="CH117" s="291"/>
      <c r="CI117" s="314"/>
      <c r="CJ117" s="314"/>
      <c r="CK117" s="281"/>
    </row>
    <row r="118" spans="4:89" ht="28.5" customHeight="1" x14ac:dyDescent="0.25">
      <c r="D118" s="461"/>
      <c r="E118" s="308"/>
      <c r="F118" s="475"/>
      <c r="G118" s="475"/>
      <c r="H118" s="479"/>
      <c r="I118" s="308"/>
      <c r="J118" s="308"/>
      <c r="K118" s="308"/>
      <c r="L118" s="397"/>
      <c r="M118" s="397"/>
      <c r="N118" s="293"/>
      <c r="O118" s="306"/>
      <c r="P118" s="408"/>
      <c r="Q118" s="424"/>
      <c r="R118" s="427"/>
      <c r="S118" s="563"/>
      <c r="T118" s="563"/>
      <c r="U118" s="400"/>
      <c r="V118" s="437"/>
      <c r="W118" s="433"/>
      <c r="X118" s="379"/>
      <c r="Y118" s="342"/>
      <c r="Z118" s="342"/>
      <c r="AA118" s="579"/>
      <c r="AB118" s="579"/>
      <c r="AC118" s="584"/>
      <c r="AD118" s="584"/>
      <c r="AE118" s="328"/>
      <c r="AF118" s="239"/>
      <c r="AG118" s="239"/>
      <c r="AH118" s="236"/>
      <c r="AI118" s="381"/>
      <c r="AJ118" s="384"/>
      <c r="AK118" s="379"/>
      <c r="AL118" s="342"/>
      <c r="AM118" s="342"/>
      <c r="AN118" s="337"/>
      <c r="AO118" s="339"/>
      <c r="AP118" s="340"/>
      <c r="AQ118" s="342"/>
      <c r="AR118" s="342"/>
      <c r="AS118" s="351"/>
      <c r="AT118" s="328"/>
      <c r="AU118" s="328"/>
      <c r="AV118" s="328"/>
      <c r="AW118" s="241"/>
      <c r="AX118" s="241"/>
      <c r="AY118" s="239"/>
      <c r="AZ118" s="227"/>
      <c r="BA118" s="230"/>
      <c r="BB118" s="230"/>
      <c r="BC118" s="306"/>
      <c r="BD118" s="309"/>
      <c r="BE118" s="309"/>
      <c r="BF118" s="309"/>
      <c r="BG118" s="573"/>
      <c r="BH118" s="308"/>
      <c r="BI118" s="523"/>
      <c r="BJ118" s="524"/>
      <c r="BK118" s="525"/>
      <c r="BL118" s="561"/>
      <c r="BM118" s="464"/>
      <c r="BN118" s="562"/>
      <c r="BO118" s="314"/>
      <c r="BP118" s="314"/>
      <c r="BQ118" s="281"/>
      <c r="BR118" s="617"/>
      <c r="BS118" s="617"/>
      <c r="BT118" s="648"/>
      <c r="BU118" s="314"/>
      <c r="BV118" s="314"/>
      <c r="BW118" s="281"/>
      <c r="BX118" s="314"/>
      <c r="BY118" s="314"/>
      <c r="BZ118" s="281"/>
      <c r="CA118" s="684"/>
      <c r="CB118" s="648"/>
      <c r="CC118" s="314"/>
      <c r="CD118" s="314"/>
      <c r="CE118" s="281"/>
      <c r="CF118" s="289"/>
      <c r="CG118" s="289"/>
      <c r="CH118" s="291"/>
      <c r="CI118" s="314"/>
      <c r="CJ118" s="314"/>
      <c r="CK118" s="281"/>
    </row>
    <row r="119" spans="4:89" ht="28.5" customHeight="1" x14ac:dyDescent="0.25">
      <c r="D119" s="461"/>
      <c r="E119" s="308"/>
      <c r="F119" s="475"/>
      <c r="G119" s="475"/>
      <c r="H119" s="479"/>
      <c r="I119" s="308"/>
      <c r="J119" s="308"/>
      <c r="K119" s="308"/>
      <c r="L119" s="397"/>
      <c r="M119" s="397"/>
      <c r="N119" s="293"/>
      <c r="O119" s="306"/>
      <c r="P119" s="408"/>
      <c r="Q119" s="424"/>
      <c r="R119" s="427"/>
      <c r="S119" s="563"/>
      <c r="T119" s="563"/>
      <c r="U119" s="400"/>
      <c r="V119" s="437"/>
      <c r="W119" s="433"/>
      <c r="X119" s="379"/>
      <c r="Y119" s="342"/>
      <c r="Z119" s="342"/>
      <c r="AA119" s="579"/>
      <c r="AB119" s="579"/>
      <c r="AC119" s="584"/>
      <c r="AD119" s="584"/>
      <c r="AE119" s="328"/>
      <c r="AF119" s="239"/>
      <c r="AG119" s="239"/>
      <c r="AH119" s="236"/>
      <c r="AI119" s="381"/>
      <c r="AJ119" s="384"/>
      <c r="AK119" s="379"/>
      <c r="AL119" s="342"/>
      <c r="AM119" s="342"/>
      <c r="AN119" s="337"/>
      <c r="AO119" s="339"/>
      <c r="AP119" s="340"/>
      <c r="AQ119" s="342"/>
      <c r="AR119" s="342"/>
      <c r="AS119" s="351"/>
      <c r="AT119" s="328"/>
      <c r="AU119" s="328"/>
      <c r="AV119" s="328"/>
      <c r="AW119" s="241"/>
      <c r="AX119" s="241"/>
      <c r="AY119" s="239"/>
      <c r="AZ119" s="227"/>
      <c r="BA119" s="230"/>
      <c r="BB119" s="230"/>
      <c r="BC119" s="306"/>
      <c r="BD119" s="309"/>
      <c r="BE119" s="309"/>
      <c r="BF119" s="309"/>
      <c r="BG119" s="573"/>
      <c r="BH119" s="308"/>
      <c r="BI119" s="523"/>
      <c r="BJ119" s="524"/>
      <c r="BK119" s="525"/>
      <c r="BL119" s="561"/>
      <c r="BM119" s="464"/>
      <c r="BN119" s="562"/>
      <c r="BO119" s="314"/>
      <c r="BP119" s="314"/>
      <c r="BQ119" s="281"/>
      <c r="BR119" s="617"/>
      <c r="BS119" s="617"/>
      <c r="BT119" s="648"/>
      <c r="BU119" s="314"/>
      <c r="BV119" s="314"/>
      <c r="BW119" s="281"/>
      <c r="BX119" s="314"/>
      <c r="BY119" s="314"/>
      <c r="BZ119" s="281"/>
      <c r="CA119" s="684"/>
      <c r="CB119" s="648"/>
      <c r="CC119" s="314"/>
      <c r="CD119" s="314"/>
      <c r="CE119" s="281"/>
      <c r="CF119" s="289"/>
      <c r="CG119" s="289"/>
      <c r="CH119" s="291"/>
      <c r="CI119" s="314"/>
      <c r="CJ119" s="314"/>
      <c r="CK119" s="281"/>
    </row>
    <row r="120" spans="4:89" ht="175.5" customHeight="1" x14ac:dyDescent="0.25">
      <c r="D120" s="461"/>
      <c r="E120" s="308"/>
      <c r="F120" s="475"/>
      <c r="G120" s="475"/>
      <c r="H120" s="479"/>
      <c r="I120" s="308"/>
      <c r="J120" s="304"/>
      <c r="K120" s="308"/>
      <c r="L120" s="398"/>
      <c r="M120" s="398"/>
      <c r="N120" s="294"/>
      <c r="O120" s="307"/>
      <c r="P120" s="409"/>
      <c r="Q120" s="425"/>
      <c r="R120" s="427"/>
      <c r="S120" s="587"/>
      <c r="T120" s="587"/>
      <c r="U120" s="401"/>
      <c r="V120" s="438"/>
      <c r="W120" s="433"/>
      <c r="X120" s="379"/>
      <c r="Y120" s="342"/>
      <c r="Z120" s="342"/>
      <c r="AA120" s="580"/>
      <c r="AB120" s="580"/>
      <c r="AC120" s="585"/>
      <c r="AD120" s="585"/>
      <c r="AE120" s="328"/>
      <c r="AF120" s="239"/>
      <c r="AG120" s="239"/>
      <c r="AH120" s="236"/>
      <c r="AI120" s="382"/>
      <c r="AJ120" s="384"/>
      <c r="AK120" s="379"/>
      <c r="AL120" s="342"/>
      <c r="AM120" s="342"/>
      <c r="AN120" s="338"/>
      <c r="AO120" s="339"/>
      <c r="AP120" s="340"/>
      <c r="AQ120" s="342"/>
      <c r="AR120" s="342"/>
      <c r="AS120" s="351"/>
      <c r="AT120" s="329"/>
      <c r="AU120" s="328"/>
      <c r="AV120" s="328"/>
      <c r="AW120" s="241"/>
      <c r="AX120" s="241"/>
      <c r="AY120" s="239"/>
      <c r="AZ120" s="227"/>
      <c r="BA120" s="230"/>
      <c r="BB120" s="230"/>
      <c r="BC120" s="307"/>
      <c r="BD120" s="309"/>
      <c r="BE120" s="309"/>
      <c r="BF120" s="309"/>
      <c r="BG120" s="573"/>
      <c r="BH120" s="304"/>
      <c r="BI120" s="526"/>
      <c r="BJ120" s="527"/>
      <c r="BK120" s="528"/>
      <c r="BL120" s="561"/>
      <c r="BM120" s="464"/>
      <c r="BN120" s="562"/>
      <c r="BO120" s="314"/>
      <c r="BP120" s="314"/>
      <c r="BQ120" s="281"/>
      <c r="BR120" s="617"/>
      <c r="BS120" s="617"/>
      <c r="BT120" s="648"/>
      <c r="BU120" s="314"/>
      <c r="BV120" s="314"/>
      <c r="BW120" s="281"/>
      <c r="BX120" s="314"/>
      <c r="BY120" s="314"/>
      <c r="BZ120" s="281"/>
      <c r="CA120" s="684"/>
      <c r="CB120" s="648"/>
      <c r="CC120" s="314"/>
      <c r="CD120" s="314"/>
      <c r="CE120" s="281"/>
      <c r="CF120" s="289"/>
      <c r="CG120" s="289"/>
      <c r="CH120" s="291"/>
      <c r="CI120" s="314"/>
      <c r="CJ120" s="314"/>
      <c r="CK120" s="281"/>
    </row>
    <row r="121" spans="4:89" ht="225" customHeight="1" x14ac:dyDescent="0.25">
      <c r="D121" s="461"/>
      <c r="E121" s="308"/>
      <c r="F121" s="475"/>
      <c r="G121" s="475"/>
      <c r="H121" s="475" t="s">
        <v>158</v>
      </c>
      <c r="I121" s="308"/>
      <c r="J121" s="303">
        <v>2</v>
      </c>
      <c r="K121" s="308"/>
      <c r="L121" s="503">
        <v>0</v>
      </c>
      <c r="M121" s="503">
        <v>2</v>
      </c>
      <c r="N121" s="292" t="s">
        <v>159</v>
      </c>
      <c r="O121" s="305">
        <v>0.25</v>
      </c>
      <c r="P121" s="407">
        <v>0.25</v>
      </c>
      <c r="Q121" s="292" t="s">
        <v>160</v>
      </c>
      <c r="R121" s="575">
        <v>0.25</v>
      </c>
      <c r="S121" s="586">
        <f>R121/4</f>
        <v>6.25E-2</v>
      </c>
      <c r="T121" s="586">
        <f>R121/4</f>
        <v>6.25E-2</v>
      </c>
      <c r="U121" s="501">
        <f>T121/R121</f>
        <v>0.25</v>
      </c>
      <c r="V121" s="439">
        <f>T121/R121</f>
        <v>0.25</v>
      </c>
      <c r="W121" s="433"/>
      <c r="X121" s="379">
        <f>S121/R121</f>
        <v>0.25</v>
      </c>
      <c r="Y121" s="342"/>
      <c r="Z121" s="342"/>
      <c r="AA121" s="581">
        <f>0.0625+0.0625</f>
        <v>0.125</v>
      </c>
      <c r="AB121" s="581">
        <v>6.25E-2</v>
      </c>
      <c r="AC121" s="591">
        <f>AA121/R121</f>
        <v>0.5</v>
      </c>
      <c r="AD121" s="591">
        <f>AA121/R121</f>
        <v>0.5</v>
      </c>
      <c r="AE121" s="328"/>
      <c r="AF121" s="238">
        <f>AB121/P121</f>
        <v>0.25</v>
      </c>
      <c r="AG121" s="239"/>
      <c r="AH121" s="236"/>
      <c r="AI121" s="383">
        <v>6.25E-2</v>
      </c>
      <c r="AJ121" s="383">
        <v>6.25E-2</v>
      </c>
      <c r="AK121" s="341">
        <f>AI121/R121</f>
        <v>0.25</v>
      </c>
      <c r="AL121" s="342"/>
      <c r="AM121" s="342"/>
      <c r="AN121" s="344">
        <v>6.25E-2</v>
      </c>
      <c r="AO121" s="344">
        <v>6.25E-2</v>
      </c>
      <c r="AP121" s="345">
        <f>AN121/R121</f>
        <v>0.25</v>
      </c>
      <c r="AQ121" s="342"/>
      <c r="AR121" s="342"/>
      <c r="AS121" s="351"/>
      <c r="AT121" s="327">
        <f>AW121/R121</f>
        <v>0.75</v>
      </c>
      <c r="AU121" s="328"/>
      <c r="AV121" s="328"/>
      <c r="AW121" s="250">
        <f>AB121+AI121+AN121</f>
        <v>0.1875</v>
      </c>
      <c r="AX121" s="247">
        <f>AO121+AJ121+AA121</f>
        <v>0.25</v>
      </c>
      <c r="AY121" s="235">
        <f>AX121/R121</f>
        <v>1</v>
      </c>
      <c r="AZ121" s="227"/>
      <c r="BA121" s="230"/>
      <c r="BB121" s="230"/>
      <c r="BC121" s="576" t="s">
        <v>239</v>
      </c>
      <c r="BD121" s="582" t="s">
        <v>240</v>
      </c>
      <c r="BE121" s="582" t="s">
        <v>298</v>
      </c>
      <c r="BF121" s="310" t="s">
        <v>319</v>
      </c>
      <c r="BG121" s="573"/>
      <c r="BH121" s="305" t="s">
        <v>170</v>
      </c>
      <c r="BI121" s="520" t="s">
        <v>161</v>
      </c>
      <c r="BJ121" s="521"/>
      <c r="BK121" s="522"/>
      <c r="BL121" s="561"/>
      <c r="BM121" s="464"/>
      <c r="BN121" s="562"/>
      <c r="BO121" s="314"/>
      <c r="BP121" s="314"/>
      <c r="BQ121" s="281"/>
      <c r="BR121" s="617"/>
      <c r="BS121" s="617"/>
      <c r="BT121" s="648"/>
      <c r="BU121" s="314"/>
      <c r="BV121" s="314"/>
      <c r="BW121" s="281"/>
      <c r="BX121" s="314"/>
      <c r="BY121" s="314"/>
      <c r="BZ121" s="281"/>
      <c r="CA121" s="684"/>
      <c r="CB121" s="648"/>
      <c r="CC121" s="314"/>
      <c r="CD121" s="314"/>
      <c r="CE121" s="281"/>
      <c r="CF121" s="289"/>
      <c r="CG121" s="289"/>
      <c r="CH121" s="291"/>
      <c r="CI121" s="314"/>
      <c r="CJ121" s="314"/>
      <c r="CK121" s="281"/>
    </row>
    <row r="122" spans="4:89" ht="28.5" customHeight="1" x14ac:dyDescent="0.25">
      <c r="D122" s="461"/>
      <c r="E122" s="308"/>
      <c r="F122" s="475"/>
      <c r="G122" s="475"/>
      <c r="H122" s="475"/>
      <c r="I122" s="308"/>
      <c r="J122" s="308"/>
      <c r="K122" s="308"/>
      <c r="L122" s="503"/>
      <c r="M122" s="503"/>
      <c r="N122" s="294"/>
      <c r="O122" s="307"/>
      <c r="P122" s="409"/>
      <c r="Q122" s="293"/>
      <c r="R122" s="575"/>
      <c r="S122" s="586"/>
      <c r="T122" s="586"/>
      <c r="U122" s="501"/>
      <c r="V122" s="439"/>
      <c r="W122" s="433"/>
      <c r="X122" s="379"/>
      <c r="Y122" s="342"/>
      <c r="Z122" s="342"/>
      <c r="AA122" s="581"/>
      <c r="AB122" s="581"/>
      <c r="AC122" s="591"/>
      <c r="AD122" s="591"/>
      <c r="AE122" s="328"/>
      <c r="AF122" s="238"/>
      <c r="AG122" s="239"/>
      <c r="AH122" s="236"/>
      <c r="AI122" s="383"/>
      <c r="AJ122" s="383"/>
      <c r="AK122" s="343"/>
      <c r="AL122" s="342"/>
      <c r="AM122" s="342"/>
      <c r="AN122" s="344"/>
      <c r="AO122" s="344"/>
      <c r="AP122" s="346"/>
      <c r="AQ122" s="342"/>
      <c r="AR122" s="342"/>
      <c r="AS122" s="351"/>
      <c r="AT122" s="329"/>
      <c r="AU122" s="328"/>
      <c r="AV122" s="328"/>
      <c r="AW122" s="251"/>
      <c r="AX122" s="248"/>
      <c r="AY122" s="237"/>
      <c r="AZ122" s="227"/>
      <c r="BA122" s="230"/>
      <c r="BB122" s="230"/>
      <c r="BC122" s="577"/>
      <c r="BD122" s="582"/>
      <c r="BE122" s="582"/>
      <c r="BF122" s="311"/>
      <c r="BG122" s="573"/>
      <c r="BH122" s="306"/>
      <c r="BI122" s="523"/>
      <c r="BJ122" s="524"/>
      <c r="BK122" s="525"/>
      <c r="BL122" s="561"/>
      <c r="BM122" s="464"/>
      <c r="BN122" s="562"/>
      <c r="BO122" s="314"/>
      <c r="BP122" s="314"/>
      <c r="BQ122" s="281"/>
      <c r="BR122" s="617"/>
      <c r="BS122" s="617"/>
      <c r="BT122" s="648"/>
      <c r="BU122" s="314"/>
      <c r="BV122" s="314"/>
      <c r="BW122" s="281"/>
      <c r="BX122" s="314"/>
      <c r="BY122" s="314"/>
      <c r="BZ122" s="281"/>
      <c r="CA122" s="684"/>
      <c r="CB122" s="648"/>
      <c r="CC122" s="314"/>
      <c r="CD122" s="314"/>
      <c r="CE122" s="281"/>
      <c r="CF122" s="289"/>
      <c r="CG122" s="289"/>
      <c r="CH122" s="291"/>
      <c r="CI122" s="314"/>
      <c r="CJ122" s="314"/>
      <c r="CK122" s="281"/>
    </row>
    <row r="123" spans="4:89" ht="409.5" customHeight="1" x14ac:dyDescent="0.25">
      <c r="D123" s="462"/>
      <c r="E123" s="304"/>
      <c r="F123" s="475"/>
      <c r="G123" s="475"/>
      <c r="H123" s="475"/>
      <c r="I123" s="304"/>
      <c r="J123" s="304"/>
      <c r="K123" s="304"/>
      <c r="L123" s="503"/>
      <c r="M123" s="503"/>
      <c r="N123" s="15" t="s">
        <v>162</v>
      </c>
      <c r="O123" s="30">
        <v>0.25</v>
      </c>
      <c r="P123" s="31">
        <v>0.25</v>
      </c>
      <c r="Q123" s="294"/>
      <c r="R123" s="31">
        <v>0.25</v>
      </c>
      <c r="S123" s="70">
        <f>R123/4</f>
        <v>6.25E-2</v>
      </c>
      <c r="T123" s="80">
        <f>R123/4</f>
        <v>6.25E-2</v>
      </c>
      <c r="U123" s="142">
        <f>T123/R123</f>
        <v>0.25</v>
      </c>
      <c r="V123" s="143">
        <f>T123/R123</f>
        <v>0.25</v>
      </c>
      <c r="W123" s="434"/>
      <c r="X123" s="194">
        <f>S123/R123</f>
        <v>0.25</v>
      </c>
      <c r="Y123" s="343"/>
      <c r="Z123" s="343"/>
      <c r="AA123" s="152">
        <f>0.0625+0.0625</f>
        <v>0.125</v>
      </c>
      <c r="AB123" s="153">
        <v>6.25E-2</v>
      </c>
      <c r="AC123" s="124">
        <f>AA123/R123</f>
        <v>0.5</v>
      </c>
      <c r="AD123" s="126">
        <f>AA123/R123</f>
        <v>0.5</v>
      </c>
      <c r="AE123" s="329"/>
      <c r="AF123" s="112">
        <f>AB123/P123</f>
        <v>0.25</v>
      </c>
      <c r="AG123" s="239"/>
      <c r="AH123" s="237"/>
      <c r="AI123" s="122">
        <v>6.25E-2</v>
      </c>
      <c r="AJ123" s="122">
        <v>6.25E-2</v>
      </c>
      <c r="AK123" s="194">
        <f>AI123/R123</f>
        <v>0.25</v>
      </c>
      <c r="AL123" s="343"/>
      <c r="AM123" s="343"/>
      <c r="AN123" s="170">
        <v>6.25E-2</v>
      </c>
      <c r="AO123" s="170">
        <v>6.25E-2</v>
      </c>
      <c r="AP123" s="171">
        <f>AN123/R123</f>
        <v>0.25</v>
      </c>
      <c r="AQ123" s="343"/>
      <c r="AR123" s="343"/>
      <c r="AS123" s="352"/>
      <c r="AT123" s="113">
        <f>AW123/R123</f>
        <v>0.75</v>
      </c>
      <c r="AU123" s="329"/>
      <c r="AV123" s="329"/>
      <c r="AW123" s="211">
        <f>AN123+AI123+AB123</f>
        <v>0.1875</v>
      </c>
      <c r="AX123" s="212">
        <f>AO123+AJ123+AA123</f>
        <v>0.25</v>
      </c>
      <c r="AY123" s="129">
        <f>AX123/R123</f>
        <v>1</v>
      </c>
      <c r="AZ123" s="228"/>
      <c r="BA123" s="231"/>
      <c r="BB123" s="231"/>
      <c r="BC123" s="578"/>
      <c r="BD123" s="582"/>
      <c r="BE123" s="582"/>
      <c r="BF123" s="312"/>
      <c r="BG123" s="574"/>
      <c r="BH123" s="307"/>
      <c r="BI123" s="526"/>
      <c r="BJ123" s="527"/>
      <c r="BK123" s="528"/>
      <c r="BL123" s="561"/>
      <c r="BM123" s="465"/>
      <c r="BN123" s="562"/>
      <c r="BO123" s="315"/>
      <c r="BP123" s="315"/>
      <c r="BQ123" s="282"/>
      <c r="BR123" s="618"/>
      <c r="BS123" s="618"/>
      <c r="BT123" s="649"/>
      <c r="BU123" s="315"/>
      <c r="BV123" s="315"/>
      <c r="BW123" s="282"/>
      <c r="BX123" s="315"/>
      <c r="BY123" s="315"/>
      <c r="BZ123" s="282"/>
      <c r="CA123" s="685"/>
      <c r="CB123" s="649"/>
      <c r="CC123" s="315"/>
      <c r="CD123" s="315"/>
      <c r="CE123" s="282"/>
      <c r="CF123" s="290"/>
      <c r="CG123" s="290"/>
      <c r="CH123" s="287"/>
      <c r="CI123" s="314"/>
      <c r="CJ123" s="314"/>
      <c r="CK123" s="281"/>
    </row>
    <row r="124" spans="4:89" s="28" customFormat="1" ht="46.5" customHeight="1" x14ac:dyDescent="0.35">
      <c r="D124" s="2"/>
      <c r="E124" s="2"/>
      <c r="F124" s="2"/>
      <c r="G124" s="2"/>
      <c r="H124" s="2"/>
      <c r="I124" s="2"/>
      <c r="J124" s="2"/>
      <c r="K124" s="32"/>
      <c r="L124" s="32"/>
      <c r="M124" s="32"/>
      <c r="N124" s="2"/>
      <c r="O124" s="571"/>
      <c r="P124" s="40"/>
      <c r="Q124" s="40"/>
      <c r="R124" s="40"/>
      <c r="S124" s="81"/>
      <c r="T124" s="81"/>
      <c r="U124" s="81"/>
      <c r="V124" s="81"/>
      <c r="W124" s="144">
        <f>SUM(W13:W123)/7</f>
        <v>0.51584836133081058</v>
      </c>
      <c r="X124" s="187"/>
      <c r="Y124" s="187"/>
      <c r="Z124" s="187"/>
      <c r="AA124" s="64"/>
      <c r="AB124" s="64"/>
      <c r="AC124" s="64"/>
      <c r="AD124" s="64"/>
      <c r="AE124" s="65">
        <f>SUM(AE13:AE123)/7</f>
        <v>0.71798064443636422</v>
      </c>
      <c r="AF124" s="71"/>
      <c r="AG124" s="71"/>
      <c r="AH124" s="71"/>
      <c r="AI124" s="162"/>
      <c r="AJ124" s="162"/>
      <c r="AK124" s="187"/>
      <c r="AL124" s="186"/>
      <c r="AM124" s="187">
        <f>SUM(AM13:AM123)/7</f>
        <v>0.13436521555442732</v>
      </c>
      <c r="AN124" s="178"/>
      <c r="AO124" s="178"/>
      <c r="AP124" s="178"/>
      <c r="AQ124" s="186"/>
      <c r="AR124" s="186"/>
      <c r="AS124" s="187"/>
      <c r="AT124" s="65"/>
      <c r="AU124" s="65"/>
      <c r="AV124" s="65"/>
      <c r="AW124" s="213"/>
      <c r="AX124" s="213"/>
      <c r="AY124" s="221"/>
      <c r="AZ124" s="222"/>
      <c r="BA124" s="222"/>
      <c r="BB124" s="222"/>
      <c r="BC124" s="2"/>
      <c r="BD124" s="2"/>
      <c r="BE124" s="2"/>
      <c r="BF124" s="2"/>
      <c r="BG124" s="2"/>
      <c r="BH124" s="2"/>
      <c r="BI124" s="2"/>
      <c r="BJ124" s="2"/>
      <c r="BK124" s="2"/>
      <c r="BL124" s="2"/>
      <c r="BM124" s="2"/>
      <c r="BN124" s="72"/>
      <c r="BQ124" s="73">
        <f>SUM(BQ13:BQ123)/11</f>
        <v>0.42602486190907024</v>
      </c>
      <c r="BR124" s="73"/>
      <c r="BS124" s="73"/>
      <c r="BW124" s="100">
        <f>SUM(BW13:BW123)/11</f>
        <v>0.71517772358959075</v>
      </c>
      <c r="BX124" s="2"/>
      <c r="BY124" s="2"/>
      <c r="BZ124" s="100"/>
      <c r="CA124" s="100"/>
      <c r="CB124" s="2"/>
      <c r="CC124" s="2"/>
      <c r="CD124" s="2"/>
      <c r="CE124" s="100">
        <f>SUM(CE13:CE123)/11</f>
        <v>0.59983194180761434</v>
      </c>
      <c r="CF124" s="101"/>
      <c r="CG124" s="101"/>
      <c r="CH124" s="102">
        <f>SUM(CH13:CH123)/11</f>
        <v>0.82978603819837116</v>
      </c>
      <c r="CI124" s="109"/>
      <c r="CJ124" s="109"/>
      <c r="CK124" s="109"/>
    </row>
    <row r="125" spans="4:89" s="28" customFormat="1" ht="21" customHeight="1" x14ac:dyDescent="0.5">
      <c r="D125" s="2"/>
      <c r="E125" s="2"/>
      <c r="F125" s="2"/>
      <c r="G125" s="2"/>
      <c r="H125" s="2"/>
      <c r="I125" s="2"/>
      <c r="J125" s="2"/>
      <c r="K125" s="32"/>
      <c r="L125" s="32"/>
      <c r="M125" s="32"/>
      <c r="N125" s="2"/>
      <c r="O125" s="571"/>
      <c r="P125" s="93"/>
      <c r="Q125" s="93"/>
      <c r="R125" s="93"/>
      <c r="S125" s="81"/>
      <c r="T125" s="81"/>
      <c r="U125" s="81"/>
      <c r="V125" s="81"/>
      <c r="W125" s="77"/>
      <c r="X125" s="182"/>
      <c r="Y125" s="182"/>
      <c r="Z125" s="182"/>
      <c r="AA125" s="64"/>
      <c r="AB125" s="64"/>
      <c r="AC125" s="64"/>
      <c r="AD125" s="64"/>
      <c r="AE125" s="61"/>
      <c r="AF125" s="93"/>
      <c r="AG125" s="93"/>
      <c r="AH125" s="93"/>
      <c r="AI125" s="155"/>
      <c r="AJ125" s="155"/>
      <c r="AK125" s="182"/>
      <c r="AL125" s="191"/>
      <c r="AM125" s="182"/>
      <c r="AN125" s="165"/>
      <c r="AO125" s="165"/>
      <c r="AP125" s="165"/>
      <c r="AQ125" s="182"/>
      <c r="AR125" s="182"/>
      <c r="AS125" s="182"/>
      <c r="AT125" s="61"/>
      <c r="AU125" s="61"/>
      <c r="AV125" s="61"/>
      <c r="AW125" s="201"/>
      <c r="AX125" s="201"/>
      <c r="AY125" s="216"/>
      <c r="AZ125" s="216"/>
      <c r="BA125" s="216"/>
      <c r="BB125" s="216"/>
      <c r="BC125" s="2"/>
      <c r="BD125" s="2"/>
      <c r="BE125" s="2"/>
      <c r="BF125" s="2"/>
      <c r="BG125" s="2"/>
      <c r="BH125" s="2"/>
      <c r="BI125" s="2"/>
      <c r="BJ125" s="2"/>
      <c r="BK125" s="2"/>
      <c r="BL125" s="2"/>
      <c r="BM125" s="2"/>
      <c r="BN125" s="72"/>
      <c r="CE125" s="88"/>
      <c r="CH125" s="88"/>
      <c r="CI125" s="110"/>
      <c r="CJ125" s="110"/>
      <c r="CK125" s="110"/>
    </row>
    <row r="126" spans="4:89" s="28" customFormat="1" ht="21" customHeight="1" x14ac:dyDescent="0.35">
      <c r="D126" s="2"/>
      <c r="E126" s="2"/>
      <c r="F126" s="2"/>
      <c r="G126" s="2"/>
      <c r="H126" s="2"/>
      <c r="I126" s="2"/>
      <c r="J126" s="2"/>
      <c r="K126" s="32"/>
      <c r="L126" s="32"/>
      <c r="M126" s="32"/>
      <c r="N126" s="2"/>
      <c r="O126" s="2"/>
      <c r="P126" s="93"/>
      <c r="Q126" s="93"/>
      <c r="R126" s="93"/>
      <c r="S126" s="77"/>
      <c r="T126" s="77"/>
      <c r="U126" s="77"/>
      <c r="V126" s="77"/>
      <c r="W126" s="77"/>
      <c r="X126" s="182"/>
      <c r="Y126" s="182"/>
      <c r="Z126" s="182"/>
      <c r="AA126" s="61"/>
      <c r="AB126" s="61"/>
      <c r="AC126" s="61"/>
      <c r="AD126" s="61"/>
      <c r="AE126" s="61"/>
      <c r="AF126" s="93"/>
      <c r="AG126" s="93"/>
      <c r="AH126" s="93"/>
      <c r="AI126" s="163"/>
      <c r="AJ126" s="155"/>
      <c r="AK126" s="182"/>
      <c r="AL126" s="191"/>
      <c r="AM126" s="182"/>
      <c r="AN126" s="165"/>
      <c r="AO126" s="165"/>
      <c r="AP126" s="165"/>
      <c r="AQ126" s="182"/>
      <c r="AR126" s="182"/>
      <c r="AS126" s="182"/>
      <c r="AT126" s="61"/>
      <c r="AU126" s="61"/>
      <c r="AV126" s="61"/>
      <c r="AW126" s="201"/>
      <c r="AX126" s="201"/>
      <c r="AY126" s="216"/>
      <c r="AZ126" s="216"/>
      <c r="BA126" s="216"/>
      <c r="BB126" s="216"/>
      <c r="BC126" s="2"/>
      <c r="BD126" s="2"/>
      <c r="BE126" s="2"/>
      <c r="BF126" s="2"/>
      <c r="BG126" s="2"/>
      <c r="BH126" s="2"/>
      <c r="BI126" s="2"/>
      <c r="BJ126" s="2"/>
      <c r="BK126" s="2"/>
      <c r="BL126" s="2"/>
      <c r="BM126" s="2"/>
      <c r="BN126" s="72"/>
      <c r="CI126" s="111"/>
      <c r="CJ126" s="111"/>
      <c r="CK126" s="111"/>
    </row>
    <row r="127" spans="4:89" s="28" customFormat="1" x14ac:dyDescent="0.35">
      <c r="D127" s="2"/>
      <c r="E127" s="2"/>
      <c r="F127" s="2"/>
      <c r="G127" s="2"/>
      <c r="H127" s="2"/>
      <c r="I127" s="2"/>
      <c r="J127" s="2"/>
      <c r="K127" s="2"/>
      <c r="L127" s="2"/>
      <c r="M127" s="2"/>
      <c r="N127" s="2"/>
      <c r="O127" s="2"/>
      <c r="P127" s="93"/>
      <c r="Q127" s="93"/>
      <c r="R127" s="93"/>
      <c r="S127" s="145"/>
      <c r="T127" s="145"/>
      <c r="U127" s="145"/>
      <c r="V127" s="145"/>
      <c r="W127" s="146"/>
      <c r="X127" s="188"/>
      <c r="Y127" s="188"/>
      <c r="Z127" s="188"/>
      <c r="AA127" s="154"/>
      <c r="AB127" s="154"/>
      <c r="AC127" s="154"/>
      <c r="AD127" s="154"/>
      <c r="AE127" s="104"/>
      <c r="AF127" s="74"/>
      <c r="AG127" s="74"/>
      <c r="AH127" s="74"/>
      <c r="AI127" s="163"/>
      <c r="AJ127" s="163"/>
      <c r="AK127" s="188"/>
      <c r="AL127" s="197"/>
      <c r="AM127" s="188"/>
      <c r="AN127" s="179"/>
      <c r="AO127" s="179"/>
      <c r="AP127" s="179"/>
      <c r="AQ127" s="188"/>
      <c r="AR127" s="188"/>
      <c r="AS127" s="188"/>
      <c r="AT127" s="104"/>
      <c r="AU127" s="104"/>
      <c r="AV127" s="104"/>
      <c r="AW127" s="214"/>
      <c r="AX127" s="214"/>
      <c r="AY127" s="223"/>
      <c r="AZ127" s="223"/>
      <c r="BA127" s="223"/>
      <c r="BB127" s="223"/>
      <c r="BC127" s="2"/>
      <c r="BD127" s="2"/>
      <c r="BE127" s="2"/>
      <c r="BF127" s="2"/>
      <c r="BG127" s="2"/>
      <c r="BH127" s="2"/>
      <c r="BI127" s="2"/>
      <c r="BJ127" s="2"/>
      <c r="BK127" s="2"/>
      <c r="BL127" s="2"/>
      <c r="BM127" s="2"/>
      <c r="CI127" s="111"/>
      <c r="CJ127" s="111"/>
      <c r="CK127" s="111"/>
    </row>
    <row r="128" spans="4:89" s="28" customFormat="1" x14ac:dyDescent="0.35">
      <c r="D128" s="2"/>
      <c r="E128" s="2"/>
      <c r="F128" s="2"/>
      <c r="G128" s="2"/>
      <c r="H128" s="2"/>
      <c r="I128" s="2"/>
      <c r="J128" s="2"/>
      <c r="K128" s="2"/>
      <c r="L128" s="2"/>
      <c r="M128" s="2"/>
      <c r="N128" s="2"/>
      <c r="O128" s="2"/>
      <c r="P128" s="93"/>
      <c r="Q128" s="93"/>
      <c r="R128" s="93"/>
      <c r="S128" s="145"/>
      <c r="T128" s="145"/>
      <c r="U128" s="145"/>
      <c r="V128" s="145"/>
      <c r="W128" s="147"/>
      <c r="X128" s="189"/>
      <c r="Y128" s="189"/>
      <c r="Z128" s="189"/>
      <c r="AA128" s="154"/>
      <c r="AB128" s="154"/>
      <c r="AC128" s="154"/>
      <c r="AD128" s="154"/>
      <c r="AE128" s="105"/>
      <c r="AF128" s="75"/>
      <c r="AG128" s="75"/>
      <c r="AH128" s="75"/>
      <c r="AI128" s="164"/>
      <c r="AJ128" s="164"/>
      <c r="AK128" s="189"/>
      <c r="AL128" s="198"/>
      <c r="AM128" s="189"/>
      <c r="AN128" s="180"/>
      <c r="AO128" s="180"/>
      <c r="AP128" s="180"/>
      <c r="AQ128" s="189"/>
      <c r="AR128" s="189"/>
      <c r="AS128" s="189"/>
      <c r="AT128" s="105"/>
      <c r="AU128" s="105"/>
      <c r="AV128" s="105"/>
      <c r="AW128" s="215"/>
      <c r="AX128" s="215"/>
      <c r="AY128" s="224"/>
      <c r="AZ128" s="224"/>
      <c r="BA128" s="224"/>
      <c r="BB128" s="224"/>
      <c r="BC128" s="2"/>
      <c r="BD128" s="2"/>
      <c r="BE128" s="2"/>
      <c r="BF128" s="2"/>
      <c r="BG128" s="2"/>
      <c r="BH128" s="2"/>
      <c r="BI128" s="2"/>
      <c r="BJ128" s="2"/>
      <c r="BK128" s="2"/>
      <c r="BL128" s="2"/>
      <c r="BM128" s="2"/>
      <c r="CI128" s="111"/>
      <c r="CJ128" s="111"/>
      <c r="CK128" s="111"/>
    </row>
    <row r="129" spans="4:89" s="28" customFormat="1" ht="46.5" x14ac:dyDescent="0.35">
      <c r="D129" s="2"/>
      <c r="E129" s="2"/>
      <c r="F129" s="2"/>
      <c r="G129" s="2"/>
      <c r="H129" s="2"/>
      <c r="I129" s="2"/>
      <c r="J129" s="2"/>
      <c r="K129" s="2"/>
      <c r="L129" s="2"/>
      <c r="M129" s="2"/>
      <c r="N129" s="2"/>
      <c r="O129" s="2"/>
      <c r="P129" s="93"/>
      <c r="Q129" s="93"/>
      <c r="R129" s="93"/>
      <c r="S129" s="145"/>
      <c r="T129" s="145"/>
      <c r="U129" s="145"/>
      <c r="V129" s="145"/>
      <c r="W129" s="77"/>
      <c r="X129" s="182"/>
      <c r="Y129" s="182"/>
      <c r="Z129" s="182"/>
      <c r="AA129" s="154"/>
      <c r="AB129" s="154"/>
      <c r="AC129" s="154"/>
      <c r="AD129" s="154"/>
      <c r="AE129" s="61"/>
      <c r="AF129" s="93"/>
      <c r="AG129" s="93"/>
      <c r="AH129" s="93"/>
      <c r="AI129" s="155"/>
      <c r="AJ129" s="155"/>
      <c r="AK129" s="182"/>
      <c r="AL129" s="191"/>
      <c r="AM129" s="182"/>
      <c r="AN129" s="165"/>
      <c r="AO129" s="181"/>
      <c r="AP129" s="181"/>
      <c r="AQ129" s="190"/>
      <c r="AR129" s="190"/>
      <c r="AS129" s="182"/>
      <c r="AT129" s="61"/>
      <c r="AU129" s="61"/>
      <c r="AV129" s="61"/>
      <c r="AW129" s="201"/>
      <c r="AX129" s="201"/>
      <c r="AY129" s="216"/>
      <c r="AZ129" s="223"/>
      <c r="BA129" s="216"/>
      <c r="BB129" s="216"/>
      <c r="BC129" s="2"/>
      <c r="BD129" s="2"/>
      <c r="BE129" s="2"/>
      <c r="BF129" s="2"/>
      <c r="BG129" s="2"/>
      <c r="BH129" s="2"/>
      <c r="BI129" s="2"/>
      <c r="BJ129" s="2"/>
      <c r="BK129" s="2"/>
      <c r="BL129" s="2"/>
      <c r="BM129" s="2"/>
      <c r="CI129" s="111"/>
      <c r="CJ129" s="111"/>
      <c r="CK129" s="111"/>
    </row>
    <row r="130" spans="4:89" s="28" customFormat="1" ht="46.5" x14ac:dyDescent="0.35">
      <c r="D130" s="2"/>
      <c r="E130" s="2"/>
      <c r="F130" s="2"/>
      <c r="G130" s="2"/>
      <c r="H130" s="2"/>
      <c r="I130" s="2"/>
      <c r="J130" s="2"/>
      <c r="K130" s="2"/>
      <c r="L130" s="2"/>
      <c r="M130" s="2"/>
      <c r="N130" s="2"/>
      <c r="O130" s="2"/>
      <c r="P130" s="93"/>
      <c r="Q130" s="93"/>
      <c r="R130" s="93"/>
      <c r="S130" s="77"/>
      <c r="T130" s="77"/>
      <c r="U130" s="77"/>
      <c r="V130" s="77"/>
      <c r="W130" s="77"/>
      <c r="X130" s="182"/>
      <c r="Y130" s="182"/>
      <c r="Z130" s="182"/>
      <c r="AA130" s="61"/>
      <c r="AB130" s="61"/>
      <c r="AC130" s="61"/>
      <c r="AD130" s="61"/>
      <c r="AE130" s="61"/>
      <c r="AF130" s="93"/>
      <c r="AG130" s="93"/>
      <c r="AH130" s="93"/>
      <c r="AI130" s="155"/>
      <c r="AJ130" s="155"/>
      <c r="AK130" s="182"/>
      <c r="AL130" s="191"/>
      <c r="AM130" s="182"/>
      <c r="AN130" s="165"/>
      <c r="AO130" s="181"/>
      <c r="AP130" s="181"/>
      <c r="AQ130" s="190"/>
      <c r="AR130" s="190"/>
      <c r="AS130" s="182"/>
      <c r="AT130" s="61"/>
      <c r="AU130" s="61"/>
      <c r="AV130" s="61"/>
      <c r="AW130" s="201"/>
      <c r="AX130" s="201"/>
      <c r="AY130" s="216"/>
      <c r="AZ130" s="216"/>
      <c r="BA130" s="216"/>
      <c r="BB130" s="216"/>
      <c r="BC130" s="2"/>
      <c r="BD130" s="2"/>
      <c r="BE130" s="2"/>
      <c r="BF130" s="2"/>
      <c r="BG130" s="2"/>
      <c r="BH130" s="2"/>
      <c r="BI130" s="2"/>
      <c r="BJ130" s="2"/>
      <c r="BK130" s="2"/>
      <c r="BL130" s="2"/>
      <c r="BM130" s="2"/>
      <c r="CI130" s="111"/>
      <c r="CJ130" s="111"/>
      <c r="CK130" s="111"/>
    </row>
    <row r="131" spans="4:89" s="28" customFormat="1" x14ac:dyDescent="0.35">
      <c r="D131" s="2"/>
      <c r="E131" s="2"/>
      <c r="F131" s="2"/>
      <c r="G131" s="2"/>
      <c r="H131" s="2"/>
      <c r="I131" s="2"/>
      <c r="J131" s="2"/>
      <c r="K131" s="2"/>
      <c r="L131" s="2"/>
      <c r="M131" s="2"/>
      <c r="N131" s="2"/>
      <c r="O131" s="2"/>
      <c r="P131" s="93"/>
      <c r="Q131" s="93"/>
      <c r="R131" s="93"/>
      <c r="S131" s="77"/>
      <c r="T131" s="77"/>
      <c r="U131" s="77"/>
      <c r="V131" s="77"/>
      <c r="W131" s="77"/>
      <c r="X131" s="182"/>
      <c r="Y131" s="182"/>
      <c r="Z131" s="182"/>
      <c r="AA131" s="61"/>
      <c r="AB131" s="61"/>
      <c r="AC131" s="61"/>
      <c r="AD131" s="61"/>
      <c r="AE131" s="61"/>
      <c r="AF131" s="93"/>
      <c r="AG131" s="93"/>
      <c r="AH131" s="93"/>
      <c r="AI131" s="155"/>
      <c r="AJ131" s="155"/>
      <c r="AK131" s="182"/>
      <c r="AL131" s="191"/>
      <c r="AM131" s="182"/>
      <c r="AN131" s="165"/>
      <c r="AO131" s="165"/>
      <c r="AP131" s="165"/>
      <c r="AQ131" s="182"/>
      <c r="AR131" s="182"/>
      <c r="AS131" s="182"/>
      <c r="AT131" s="61"/>
      <c r="AU131" s="61"/>
      <c r="AV131" s="61"/>
      <c r="AW131" s="201"/>
      <c r="AX131" s="201"/>
      <c r="AY131" s="216"/>
      <c r="AZ131" s="216"/>
      <c r="BA131" s="216"/>
      <c r="BB131" s="216"/>
      <c r="BC131" s="2"/>
      <c r="BD131" s="2"/>
      <c r="BE131" s="2"/>
      <c r="BF131" s="2"/>
      <c r="BG131" s="2"/>
      <c r="BH131" s="2"/>
      <c r="BI131" s="2"/>
      <c r="BJ131" s="2"/>
      <c r="BK131" s="2"/>
      <c r="BL131" s="2"/>
      <c r="BM131" s="2"/>
      <c r="CI131" s="111"/>
      <c r="CJ131" s="111"/>
      <c r="CK131" s="111"/>
    </row>
    <row r="132" spans="4:89" s="28" customFormat="1" x14ac:dyDescent="0.35">
      <c r="D132" s="2"/>
      <c r="E132" s="2"/>
      <c r="F132" s="2"/>
      <c r="G132" s="2"/>
      <c r="H132" s="2"/>
      <c r="I132" s="2"/>
      <c r="J132" s="2"/>
      <c r="K132" s="2"/>
      <c r="L132" s="2"/>
      <c r="M132" s="2"/>
      <c r="N132" s="2"/>
      <c r="O132" s="2"/>
      <c r="P132" s="93"/>
      <c r="Q132" s="93"/>
      <c r="R132" s="93"/>
      <c r="S132" s="77"/>
      <c r="T132" s="77"/>
      <c r="U132" s="77"/>
      <c r="V132" s="77"/>
      <c r="W132" s="77"/>
      <c r="X132" s="182"/>
      <c r="Y132" s="182"/>
      <c r="Z132" s="182"/>
      <c r="AA132" s="61"/>
      <c r="AB132" s="61"/>
      <c r="AC132" s="61"/>
      <c r="AD132" s="61"/>
      <c r="AE132" s="61"/>
      <c r="AF132" s="93"/>
      <c r="AG132" s="93"/>
      <c r="AH132" s="93"/>
      <c r="AI132" s="155"/>
      <c r="AJ132" s="155"/>
      <c r="AK132" s="182"/>
      <c r="AL132" s="191"/>
      <c r="AM132" s="182"/>
      <c r="AN132" s="165"/>
      <c r="AO132" s="165"/>
      <c r="AP132" s="165"/>
      <c r="AQ132" s="182"/>
      <c r="AR132" s="182"/>
      <c r="AS132" s="182"/>
      <c r="AT132" s="61"/>
      <c r="AU132" s="61"/>
      <c r="AV132" s="61"/>
      <c r="AW132" s="201"/>
      <c r="AX132" s="201"/>
      <c r="AY132" s="216"/>
      <c r="AZ132" s="216"/>
      <c r="BA132" s="216"/>
      <c r="BB132" s="216"/>
      <c r="BC132" s="2"/>
      <c r="BD132" s="2"/>
      <c r="BE132" s="2"/>
      <c r="BF132" s="2"/>
      <c r="BG132" s="2"/>
      <c r="BH132" s="2"/>
      <c r="BI132" s="2"/>
      <c r="BJ132" s="2"/>
      <c r="BK132" s="2"/>
      <c r="BL132" s="2"/>
      <c r="BM132" s="2"/>
      <c r="CI132" s="111"/>
      <c r="CJ132" s="111"/>
      <c r="CK132" s="111"/>
    </row>
    <row r="133" spans="4:89" s="28" customFormat="1" x14ac:dyDescent="0.35">
      <c r="D133" s="2"/>
      <c r="E133" s="2"/>
      <c r="F133" s="2"/>
      <c r="G133" s="2"/>
      <c r="H133" s="2"/>
      <c r="I133" s="2"/>
      <c r="J133" s="2"/>
      <c r="K133" s="2"/>
      <c r="L133" s="2"/>
      <c r="M133" s="2"/>
      <c r="N133" s="2"/>
      <c r="O133" s="2"/>
      <c r="P133" s="93"/>
      <c r="Q133" s="93"/>
      <c r="R133" s="93"/>
      <c r="S133" s="77"/>
      <c r="T133" s="77"/>
      <c r="U133" s="77"/>
      <c r="V133" s="77"/>
      <c r="W133" s="77"/>
      <c r="X133" s="182"/>
      <c r="Y133" s="182"/>
      <c r="Z133" s="182"/>
      <c r="AA133" s="61"/>
      <c r="AB133" s="61"/>
      <c r="AC133" s="61"/>
      <c r="AD133" s="61"/>
      <c r="AE133" s="61"/>
      <c r="AF133" s="93"/>
      <c r="AG133" s="93"/>
      <c r="AH133" s="93"/>
      <c r="AI133" s="155"/>
      <c r="AJ133" s="155"/>
      <c r="AK133" s="182"/>
      <c r="AL133" s="191"/>
      <c r="AM133" s="182"/>
      <c r="AN133" s="165"/>
      <c r="AO133" s="165"/>
      <c r="AP133" s="165"/>
      <c r="AQ133" s="182"/>
      <c r="AR133" s="182"/>
      <c r="AS133" s="182"/>
      <c r="AT133" s="61"/>
      <c r="AU133" s="61"/>
      <c r="AV133" s="61"/>
      <c r="AW133" s="201"/>
      <c r="AX133" s="201"/>
      <c r="AY133" s="216"/>
      <c r="AZ133" s="216"/>
      <c r="BA133" s="216"/>
      <c r="BB133" s="216"/>
      <c r="BC133" s="2"/>
      <c r="BD133" s="2"/>
      <c r="BE133" s="2"/>
      <c r="BF133" s="2"/>
      <c r="BG133" s="2"/>
      <c r="BH133" s="2"/>
      <c r="BI133" s="2"/>
      <c r="BJ133" s="2"/>
      <c r="BK133" s="2"/>
      <c r="BL133" s="2"/>
      <c r="BM133" s="2"/>
      <c r="CI133" s="111"/>
      <c r="CJ133" s="111"/>
      <c r="CK133" s="111"/>
    </row>
    <row r="134" spans="4:89" s="28" customFormat="1" x14ac:dyDescent="0.35">
      <c r="D134" s="2"/>
      <c r="E134" s="2"/>
      <c r="F134" s="2"/>
      <c r="G134" s="2"/>
      <c r="H134" s="2"/>
      <c r="I134" s="2"/>
      <c r="J134" s="2"/>
      <c r="K134" s="2"/>
      <c r="L134" s="2"/>
      <c r="M134" s="2"/>
      <c r="N134" s="2"/>
      <c r="O134" s="2"/>
      <c r="P134" s="93"/>
      <c r="Q134" s="93"/>
      <c r="R134" s="93"/>
      <c r="S134" s="77"/>
      <c r="T134" s="77"/>
      <c r="U134" s="77"/>
      <c r="V134" s="77"/>
      <c r="W134" s="77"/>
      <c r="X134" s="182"/>
      <c r="Y134" s="182"/>
      <c r="Z134" s="182"/>
      <c r="AA134" s="61"/>
      <c r="AB134" s="61"/>
      <c r="AC134" s="61"/>
      <c r="AD134" s="61"/>
      <c r="AE134" s="61"/>
      <c r="AF134" s="93"/>
      <c r="AG134" s="93"/>
      <c r="AH134" s="93"/>
      <c r="AI134" s="155"/>
      <c r="AJ134" s="155"/>
      <c r="AK134" s="182"/>
      <c r="AL134" s="191"/>
      <c r="AM134" s="182"/>
      <c r="AN134" s="165"/>
      <c r="AO134" s="165"/>
      <c r="AP134" s="165"/>
      <c r="AQ134" s="182"/>
      <c r="AR134" s="182"/>
      <c r="AS134" s="182"/>
      <c r="AT134" s="61"/>
      <c r="AU134" s="61"/>
      <c r="AV134" s="61"/>
      <c r="AW134" s="201"/>
      <c r="AX134" s="201"/>
      <c r="AY134" s="216"/>
      <c r="AZ134" s="216"/>
      <c r="BA134" s="216"/>
      <c r="BB134" s="216"/>
      <c r="BC134" s="2"/>
      <c r="BD134" s="2"/>
      <c r="BE134" s="2"/>
      <c r="BF134" s="2"/>
      <c r="BG134" s="2"/>
      <c r="BH134" s="2"/>
      <c r="BI134" s="2"/>
      <c r="BJ134" s="2"/>
      <c r="BK134" s="2"/>
      <c r="BL134" s="2"/>
      <c r="BM134" s="2"/>
      <c r="CI134" s="111"/>
      <c r="CJ134" s="111"/>
      <c r="CK134" s="111"/>
    </row>
    <row r="135" spans="4:89" s="28" customFormat="1" x14ac:dyDescent="0.35">
      <c r="D135" s="2"/>
      <c r="E135" s="2"/>
      <c r="F135" s="2"/>
      <c r="G135" s="2"/>
      <c r="H135" s="2"/>
      <c r="I135" s="2"/>
      <c r="J135" s="2"/>
      <c r="K135" s="2"/>
      <c r="L135" s="2"/>
      <c r="M135" s="2"/>
      <c r="N135" s="2"/>
      <c r="O135" s="2"/>
      <c r="P135" s="93"/>
      <c r="Q135" s="93"/>
      <c r="R135" s="93"/>
      <c r="S135" s="77"/>
      <c r="T135" s="77"/>
      <c r="U135" s="77"/>
      <c r="V135" s="77"/>
      <c r="W135" s="77"/>
      <c r="X135" s="182"/>
      <c r="Y135" s="182"/>
      <c r="Z135" s="182"/>
      <c r="AA135" s="61"/>
      <c r="AB135" s="61"/>
      <c r="AC135" s="61"/>
      <c r="AD135" s="61"/>
      <c r="AE135" s="61"/>
      <c r="AF135" s="93"/>
      <c r="AG135" s="93"/>
      <c r="AH135" s="93"/>
      <c r="AI135" s="155"/>
      <c r="AJ135" s="155"/>
      <c r="AK135" s="182"/>
      <c r="AL135" s="191"/>
      <c r="AM135" s="182"/>
      <c r="AN135" s="165"/>
      <c r="AO135" s="165"/>
      <c r="AP135" s="165"/>
      <c r="AQ135" s="182"/>
      <c r="AR135" s="182"/>
      <c r="AS135" s="182"/>
      <c r="AT135" s="61"/>
      <c r="AU135" s="61"/>
      <c r="AV135" s="61"/>
      <c r="AW135" s="201"/>
      <c r="AX135" s="201"/>
      <c r="AY135" s="216"/>
      <c r="AZ135" s="216"/>
      <c r="BA135" s="216"/>
      <c r="BB135" s="216"/>
      <c r="BC135" s="2"/>
      <c r="BD135" s="2"/>
      <c r="BE135" s="2"/>
      <c r="BF135" s="2"/>
      <c r="BG135" s="2"/>
      <c r="BH135" s="2"/>
      <c r="BI135" s="2"/>
      <c r="BJ135" s="2"/>
      <c r="BK135" s="2"/>
      <c r="BL135" s="2"/>
      <c r="BM135" s="2"/>
      <c r="CI135" s="111"/>
      <c r="CJ135" s="111"/>
      <c r="CK135" s="111"/>
    </row>
    <row r="136" spans="4:89" s="28" customFormat="1" x14ac:dyDescent="0.35">
      <c r="D136" s="2"/>
      <c r="E136" s="2"/>
      <c r="F136" s="2"/>
      <c r="G136" s="2"/>
      <c r="H136" s="2"/>
      <c r="I136" s="2"/>
      <c r="J136" s="2"/>
      <c r="K136" s="2"/>
      <c r="L136" s="2"/>
      <c r="M136" s="2"/>
      <c r="N136" s="2"/>
      <c r="O136" s="2"/>
      <c r="P136" s="93"/>
      <c r="Q136" s="93"/>
      <c r="R136" s="93"/>
      <c r="S136" s="77"/>
      <c r="T136" s="77"/>
      <c r="U136" s="77"/>
      <c r="V136" s="77"/>
      <c r="W136" s="77"/>
      <c r="X136" s="182"/>
      <c r="Y136" s="182"/>
      <c r="Z136" s="182"/>
      <c r="AA136" s="61"/>
      <c r="AB136" s="61"/>
      <c r="AC136" s="61"/>
      <c r="AD136" s="61"/>
      <c r="AE136" s="61"/>
      <c r="AF136" s="93"/>
      <c r="AG136" s="93"/>
      <c r="AH136" s="93"/>
      <c r="AI136" s="155"/>
      <c r="AJ136" s="155"/>
      <c r="AK136" s="182"/>
      <c r="AL136" s="191"/>
      <c r="AM136" s="182"/>
      <c r="AN136" s="165"/>
      <c r="AO136" s="165"/>
      <c r="AP136" s="165"/>
      <c r="AQ136" s="182"/>
      <c r="AR136" s="182"/>
      <c r="AS136" s="182"/>
      <c r="AT136" s="61"/>
      <c r="AU136" s="61"/>
      <c r="AV136" s="61"/>
      <c r="AW136" s="201"/>
      <c r="AX136" s="201"/>
      <c r="AY136" s="216"/>
      <c r="AZ136" s="216"/>
      <c r="BA136" s="216"/>
      <c r="BB136" s="216"/>
      <c r="BC136" s="2"/>
      <c r="BD136" s="2"/>
      <c r="BE136" s="2"/>
      <c r="BF136" s="2"/>
      <c r="BG136" s="2"/>
      <c r="BH136" s="2"/>
      <c r="BI136" s="2"/>
      <c r="BJ136" s="2"/>
      <c r="BK136" s="2"/>
      <c r="BL136" s="2"/>
      <c r="BM136" s="2"/>
      <c r="CI136" s="111"/>
      <c r="CJ136" s="111"/>
      <c r="CK136" s="111"/>
    </row>
    <row r="137" spans="4:89" s="28" customFormat="1" x14ac:dyDescent="0.35">
      <c r="D137" s="2"/>
      <c r="E137" s="2"/>
      <c r="F137" s="2"/>
      <c r="G137" s="2"/>
      <c r="H137" s="2"/>
      <c r="I137" s="2"/>
      <c r="J137" s="2"/>
      <c r="K137" s="2"/>
      <c r="L137" s="2"/>
      <c r="M137" s="2"/>
      <c r="N137" s="2"/>
      <c r="O137" s="2"/>
      <c r="P137" s="93"/>
      <c r="Q137" s="93"/>
      <c r="R137" s="93"/>
      <c r="S137" s="77"/>
      <c r="T137" s="77"/>
      <c r="U137" s="77"/>
      <c r="V137" s="77"/>
      <c r="W137" s="77"/>
      <c r="X137" s="182"/>
      <c r="Y137" s="182"/>
      <c r="Z137" s="182"/>
      <c r="AA137" s="61"/>
      <c r="AB137" s="61"/>
      <c r="AC137" s="61"/>
      <c r="AD137" s="61"/>
      <c r="AE137" s="61"/>
      <c r="AF137" s="93"/>
      <c r="AG137" s="93"/>
      <c r="AH137" s="93"/>
      <c r="AI137" s="155"/>
      <c r="AJ137" s="155"/>
      <c r="AK137" s="182"/>
      <c r="AL137" s="191"/>
      <c r="AM137" s="182"/>
      <c r="AN137" s="165"/>
      <c r="AO137" s="165"/>
      <c r="AP137" s="165"/>
      <c r="AQ137" s="182"/>
      <c r="AR137" s="182"/>
      <c r="AS137" s="182"/>
      <c r="AT137" s="61"/>
      <c r="AU137" s="61"/>
      <c r="AV137" s="61"/>
      <c r="AW137" s="201"/>
      <c r="AX137" s="201"/>
      <c r="AY137" s="216"/>
      <c r="AZ137" s="216"/>
      <c r="BA137" s="216"/>
      <c r="BB137" s="216"/>
      <c r="BC137" s="2"/>
      <c r="BD137" s="2"/>
      <c r="BE137" s="2"/>
      <c r="BF137" s="2"/>
      <c r="BG137" s="2"/>
      <c r="BH137" s="2"/>
      <c r="BI137" s="2"/>
      <c r="BJ137" s="2"/>
      <c r="BK137" s="2"/>
      <c r="BL137" s="2"/>
      <c r="BM137" s="2"/>
      <c r="CI137" s="111"/>
      <c r="CJ137" s="111"/>
      <c r="CK137" s="111"/>
    </row>
    <row r="138" spans="4:89" s="28" customFormat="1" x14ac:dyDescent="0.35">
      <c r="D138" s="2"/>
      <c r="E138" s="2"/>
      <c r="F138" s="2"/>
      <c r="G138" s="2"/>
      <c r="H138" s="2"/>
      <c r="I138" s="2"/>
      <c r="J138" s="2"/>
      <c r="K138" s="2"/>
      <c r="L138" s="2"/>
      <c r="M138" s="2"/>
      <c r="N138" s="2"/>
      <c r="O138" s="2"/>
      <c r="P138" s="93"/>
      <c r="Q138" s="93"/>
      <c r="R138" s="93"/>
      <c r="S138" s="77"/>
      <c r="T138" s="77"/>
      <c r="U138" s="77"/>
      <c r="V138" s="77"/>
      <c r="W138" s="77"/>
      <c r="X138" s="182"/>
      <c r="Y138" s="182"/>
      <c r="Z138" s="182"/>
      <c r="AA138" s="61"/>
      <c r="AB138" s="61"/>
      <c r="AC138" s="61"/>
      <c r="AD138" s="61"/>
      <c r="AE138" s="61"/>
      <c r="AF138" s="93"/>
      <c r="AG138" s="93"/>
      <c r="AH138" s="93"/>
      <c r="AI138" s="155"/>
      <c r="AJ138" s="155"/>
      <c r="AK138" s="182"/>
      <c r="AL138" s="191"/>
      <c r="AM138" s="182"/>
      <c r="AN138" s="165"/>
      <c r="AO138" s="165"/>
      <c r="AP138" s="165"/>
      <c r="AQ138" s="182"/>
      <c r="AR138" s="182"/>
      <c r="AS138" s="182"/>
      <c r="AT138" s="61"/>
      <c r="AU138" s="61"/>
      <c r="AV138" s="61"/>
      <c r="AW138" s="201"/>
      <c r="AX138" s="201"/>
      <c r="AY138" s="216"/>
      <c r="AZ138" s="216"/>
      <c r="BA138" s="216"/>
      <c r="BB138" s="216"/>
      <c r="BC138" s="2"/>
      <c r="BD138" s="2"/>
      <c r="BE138" s="2"/>
      <c r="BF138" s="2"/>
      <c r="BG138" s="2"/>
      <c r="BH138" s="2"/>
      <c r="BI138" s="2"/>
      <c r="BJ138" s="2"/>
      <c r="BK138" s="2"/>
      <c r="BL138" s="2"/>
      <c r="BM138" s="2"/>
      <c r="CI138" s="111"/>
      <c r="CJ138" s="111"/>
      <c r="CK138" s="111"/>
    </row>
    <row r="139" spans="4:89" s="28" customFormat="1" x14ac:dyDescent="0.35">
      <c r="D139" s="2"/>
      <c r="E139" s="2"/>
      <c r="F139" s="2"/>
      <c r="G139" s="2"/>
      <c r="H139" s="2"/>
      <c r="I139" s="2"/>
      <c r="J139" s="2"/>
      <c r="K139" s="2"/>
      <c r="L139" s="2"/>
      <c r="M139" s="2"/>
      <c r="N139" s="2"/>
      <c r="O139" s="2"/>
      <c r="P139" s="93"/>
      <c r="Q139" s="93"/>
      <c r="R139" s="93"/>
      <c r="S139" s="77"/>
      <c r="T139" s="77"/>
      <c r="U139" s="77"/>
      <c r="V139" s="77"/>
      <c r="W139" s="77"/>
      <c r="X139" s="182"/>
      <c r="Y139" s="182"/>
      <c r="Z139" s="182"/>
      <c r="AA139" s="61"/>
      <c r="AB139" s="61"/>
      <c r="AC139" s="61"/>
      <c r="AD139" s="61"/>
      <c r="AE139" s="61"/>
      <c r="AF139" s="93"/>
      <c r="AG139" s="93"/>
      <c r="AH139" s="93"/>
      <c r="AI139" s="155"/>
      <c r="AJ139" s="155"/>
      <c r="AK139" s="182"/>
      <c r="AL139" s="191"/>
      <c r="AM139" s="182"/>
      <c r="AN139" s="165"/>
      <c r="AO139" s="165"/>
      <c r="AP139" s="165"/>
      <c r="AQ139" s="182"/>
      <c r="AR139" s="182"/>
      <c r="AS139" s="182"/>
      <c r="AT139" s="61"/>
      <c r="AU139" s="61"/>
      <c r="AV139" s="61"/>
      <c r="AW139" s="201"/>
      <c r="AX139" s="201"/>
      <c r="AY139" s="216"/>
      <c r="AZ139" s="216"/>
      <c r="BA139" s="216"/>
      <c r="BB139" s="216"/>
      <c r="BC139" s="2"/>
      <c r="BD139" s="2"/>
      <c r="BE139" s="2"/>
      <c r="BF139" s="2"/>
      <c r="BG139" s="2"/>
      <c r="BH139" s="2"/>
      <c r="BI139" s="2"/>
      <c r="BJ139" s="2"/>
      <c r="BK139" s="2"/>
      <c r="BL139" s="2"/>
      <c r="BM139" s="2"/>
      <c r="CI139" s="111"/>
      <c r="CJ139" s="111"/>
      <c r="CK139" s="111"/>
    </row>
    <row r="140" spans="4:89" s="28" customFormat="1" x14ac:dyDescent="0.35">
      <c r="D140" s="2"/>
      <c r="E140" s="2"/>
      <c r="F140" s="2"/>
      <c r="G140" s="2"/>
      <c r="H140" s="2"/>
      <c r="I140" s="2"/>
      <c r="J140" s="2"/>
      <c r="K140" s="2"/>
      <c r="L140" s="2"/>
      <c r="M140" s="2"/>
      <c r="N140" s="2"/>
      <c r="O140" s="2"/>
      <c r="P140" s="93"/>
      <c r="Q140" s="93"/>
      <c r="R140" s="93"/>
      <c r="S140" s="77"/>
      <c r="T140" s="77"/>
      <c r="U140" s="77"/>
      <c r="V140" s="77"/>
      <c r="W140" s="77"/>
      <c r="X140" s="182"/>
      <c r="Y140" s="182"/>
      <c r="Z140" s="182"/>
      <c r="AA140" s="61"/>
      <c r="AB140" s="61"/>
      <c r="AC140" s="61"/>
      <c r="AD140" s="61"/>
      <c r="AE140" s="61"/>
      <c r="AF140" s="93"/>
      <c r="AG140" s="93"/>
      <c r="AH140" s="93"/>
      <c r="AI140" s="155"/>
      <c r="AJ140" s="155"/>
      <c r="AK140" s="182"/>
      <c r="AL140" s="191"/>
      <c r="AM140" s="182"/>
      <c r="AN140" s="165"/>
      <c r="AO140" s="165"/>
      <c r="AP140" s="165"/>
      <c r="AQ140" s="182"/>
      <c r="AR140" s="182"/>
      <c r="AS140" s="182"/>
      <c r="AT140" s="61"/>
      <c r="AU140" s="61"/>
      <c r="AV140" s="61"/>
      <c r="AW140" s="201"/>
      <c r="AX140" s="201"/>
      <c r="AY140" s="216"/>
      <c r="AZ140" s="216"/>
      <c r="BA140" s="216"/>
      <c r="BB140" s="216"/>
      <c r="BC140" s="2"/>
      <c r="BD140" s="2"/>
      <c r="BE140" s="2"/>
      <c r="BF140" s="2"/>
      <c r="BG140" s="2"/>
      <c r="BH140" s="2"/>
      <c r="BI140" s="2"/>
      <c r="BJ140" s="2"/>
      <c r="BK140" s="2"/>
      <c r="BL140" s="2"/>
      <c r="BM140" s="2"/>
      <c r="CI140" s="111"/>
      <c r="CJ140" s="111"/>
      <c r="CK140" s="111"/>
    </row>
    <row r="141" spans="4:89" s="28" customFormat="1" x14ac:dyDescent="0.35">
      <c r="D141" s="2"/>
      <c r="E141" s="2"/>
      <c r="F141" s="2"/>
      <c r="G141" s="2"/>
      <c r="H141" s="2"/>
      <c r="I141" s="2"/>
      <c r="J141" s="2"/>
      <c r="K141" s="2"/>
      <c r="L141" s="2"/>
      <c r="M141" s="2"/>
      <c r="N141" s="2"/>
      <c r="O141" s="2"/>
      <c r="P141" s="93"/>
      <c r="Q141" s="93"/>
      <c r="R141" s="93"/>
      <c r="S141" s="77"/>
      <c r="T141" s="77"/>
      <c r="U141" s="77"/>
      <c r="V141" s="77"/>
      <c r="W141" s="77"/>
      <c r="X141" s="182"/>
      <c r="Y141" s="182"/>
      <c r="Z141" s="182"/>
      <c r="AA141" s="61"/>
      <c r="AB141" s="61"/>
      <c r="AC141" s="61"/>
      <c r="AD141" s="61"/>
      <c r="AE141" s="61"/>
      <c r="AF141" s="93"/>
      <c r="AG141" s="93"/>
      <c r="AH141" s="93"/>
      <c r="AI141" s="155"/>
      <c r="AJ141" s="155"/>
      <c r="AK141" s="182"/>
      <c r="AL141" s="191"/>
      <c r="AM141" s="182"/>
      <c r="AN141" s="165"/>
      <c r="AO141" s="165"/>
      <c r="AP141" s="165"/>
      <c r="AQ141" s="182"/>
      <c r="AR141" s="182"/>
      <c r="AS141" s="182"/>
      <c r="AT141" s="61"/>
      <c r="AU141" s="61"/>
      <c r="AV141" s="61"/>
      <c r="AW141" s="201"/>
      <c r="AX141" s="201"/>
      <c r="AY141" s="216"/>
      <c r="AZ141" s="216"/>
      <c r="BA141" s="216"/>
      <c r="BB141" s="216"/>
      <c r="BC141" s="2"/>
      <c r="BD141" s="2"/>
      <c r="BE141" s="2"/>
      <c r="BF141" s="2"/>
      <c r="BG141" s="2"/>
      <c r="BH141" s="2"/>
      <c r="BI141" s="2"/>
      <c r="BJ141" s="2"/>
      <c r="BK141" s="2"/>
      <c r="BL141" s="2"/>
      <c r="BM141" s="2"/>
      <c r="CI141" s="111"/>
      <c r="CJ141" s="111"/>
      <c r="CK141" s="111"/>
    </row>
    <row r="142" spans="4:89" s="28" customFormat="1" x14ac:dyDescent="0.35">
      <c r="D142" s="2"/>
      <c r="E142" s="2"/>
      <c r="F142" s="2"/>
      <c r="G142" s="2"/>
      <c r="H142" s="2"/>
      <c r="I142" s="2"/>
      <c r="J142" s="2"/>
      <c r="K142" s="2"/>
      <c r="L142" s="2"/>
      <c r="M142" s="2"/>
      <c r="N142" s="2"/>
      <c r="O142" s="2"/>
      <c r="P142" s="93"/>
      <c r="Q142" s="93"/>
      <c r="R142" s="93"/>
      <c r="S142" s="77"/>
      <c r="T142" s="77"/>
      <c r="U142" s="77"/>
      <c r="V142" s="77"/>
      <c r="W142" s="77"/>
      <c r="X142" s="182"/>
      <c r="Y142" s="182"/>
      <c r="Z142" s="182"/>
      <c r="AA142" s="61"/>
      <c r="AB142" s="61"/>
      <c r="AC142" s="61"/>
      <c r="AD142" s="61"/>
      <c r="AE142" s="61"/>
      <c r="AF142" s="93"/>
      <c r="AG142" s="93"/>
      <c r="AH142" s="93"/>
      <c r="AI142" s="155"/>
      <c r="AJ142" s="155"/>
      <c r="AK142" s="182"/>
      <c r="AL142" s="191"/>
      <c r="AM142" s="182"/>
      <c r="AN142" s="165"/>
      <c r="AO142" s="165"/>
      <c r="AP142" s="165"/>
      <c r="AQ142" s="182"/>
      <c r="AR142" s="182"/>
      <c r="AS142" s="182"/>
      <c r="AT142" s="61"/>
      <c r="AU142" s="61"/>
      <c r="AV142" s="61"/>
      <c r="AW142" s="201"/>
      <c r="AX142" s="201"/>
      <c r="AY142" s="216"/>
      <c r="AZ142" s="216"/>
      <c r="BA142" s="216"/>
      <c r="BB142" s="216"/>
      <c r="BC142" s="2"/>
      <c r="BD142" s="2"/>
      <c r="BE142" s="2"/>
      <c r="BF142" s="2"/>
      <c r="BG142" s="2"/>
      <c r="BH142" s="2"/>
      <c r="BI142" s="2"/>
      <c r="BJ142" s="2"/>
      <c r="BK142" s="2"/>
      <c r="BL142" s="2"/>
      <c r="BM142" s="2"/>
      <c r="CI142" s="111"/>
      <c r="CJ142" s="111"/>
      <c r="CK142" s="111"/>
    </row>
    <row r="143" spans="4:89" s="28" customFormat="1" x14ac:dyDescent="0.35">
      <c r="D143" s="2"/>
      <c r="E143" s="2"/>
      <c r="F143" s="2"/>
      <c r="G143" s="2"/>
      <c r="H143" s="2"/>
      <c r="I143" s="2"/>
      <c r="J143" s="2"/>
      <c r="K143" s="2"/>
      <c r="L143" s="2"/>
      <c r="M143" s="2"/>
      <c r="N143" s="2"/>
      <c r="O143" s="2"/>
      <c r="P143" s="93"/>
      <c r="Q143" s="93"/>
      <c r="R143" s="93"/>
      <c r="S143" s="77"/>
      <c r="T143" s="77"/>
      <c r="U143" s="77"/>
      <c r="V143" s="77"/>
      <c r="W143" s="77"/>
      <c r="X143" s="182"/>
      <c r="Y143" s="182"/>
      <c r="Z143" s="182"/>
      <c r="AA143" s="61"/>
      <c r="AB143" s="61"/>
      <c r="AC143" s="61"/>
      <c r="AD143" s="61"/>
      <c r="AE143" s="61"/>
      <c r="AF143" s="93"/>
      <c r="AG143" s="93"/>
      <c r="AH143" s="93"/>
      <c r="AI143" s="155"/>
      <c r="AJ143" s="155"/>
      <c r="AK143" s="182"/>
      <c r="AL143" s="191"/>
      <c r="AM143" s="182"/>
      <c r="AN143" s="165"/>
      <c r="AO143" s="165"/>
      <c r="AP143" s="165"/>
      <c r="AQ143" s="182"/>
      <c r="AR143" s="182"/>
      <c r="AS143" s="182"/>
      <c r="AT143" s="61"/>
      <c r="AU143" s="61"/>
      <c r="AV143" s="61"/>
      <c r="AW143" s="201"/>
      <c r="AX143" s="201"/>
      <c r="AY143" s="216"/>
      <c r="AZ143" s="216"/>
      <c r="BA143" s="216"/>
      <c r="BB143" s="216"/>
      <c r="BC143" s="2"/>
      <c r="BD143" s="2"/>
      <c r="BE143" s="2"/>
      <c r="BF143" s="2"/>
      <c r="BG143" s="2"/>
      <c r="BH143" s="2"/>
      <c r="BI143" s="2"/>
      <c r="BJ143" s="2"/>
      <c r="BK143" s="2"/>
      <c r="BL143" s="2"/>
      <c r="BM143" s="2"/>
      <c r="CI143" s="111"/>
      <c r="CJ143" s="111"/>
      <c r="CK143" s="111"/>
    </row>
    <row r="144" spans="4:89" s="28" customFormat="1" x14ac:dyDescent="0.35">
      <c r="D144" s="2"/>
      <c r="E144" s="2"/>
      <c r="F144" s="2"/>
      <c r="G144" s="2"/>
      <c r="H144" s="2"/>
      <c r="I144" s="2"/>
      <c r="J144" s="2"/>
      <c r="K144" s="2"/>
      <c r="L144" s="2"/>
      <c r="M144" s="2"/>
      <c r="N144" s="2"/>
      <c r="O144" s="2"/>
      <c r="P144" s="93"/>
      <c r="Q144" s="93"/>
      <c r="R144" s="93"/>
      <c r="S144" s="77"/>
      <c r="T144" s="77"/>
      <c r="U144" s="77"/>
      <c r="V144" s="77"/>
      <c r="W144" s="77"/>
      <c r="X144" s="182"/>
      <c r="Y144" s="182"/>
      <c r="Z144" s="182"/>
      <c r="AA144" s="61"/>
      <c r="AB144" s="61"/>
      <c r="AC144" s="61"/>
      <c r="AD144" s="61"/>
      <c r="AE144" s="61"/>
      <c r="AF144" s="93"/>
      <c r="AG144" s="93"/>
      <c r="AH144" s="93"/>
      <c r="AI144" s="155"/>
      <c r="AJ144" s="155"/>
      <c r="AK144" s="182"/>
      <c r="AL144" s="191"/>
      <c r="AM144" s="182"/>
      <c r="AN144" s="165"/>
      <c r="AO144" s="165"/>
      <c r="AP144" s="165"/>
      <c r="AQ144" s="182"/>
      <c r="AR144" s="182"/>
      <c r="AS144" s="182"/>
      <c r="AT144" s="61"/>
      <c r="AU144" s="61"/>
      <c r="AV144" s="61"/>
      <c r="AW144" s="201"/>
      <c r="AX144" s="201"/>
      <c r="AY144" s="216"/>
      <c r="AZ144" s="216"/>
      <c r="BA144" s="216"/>
      <c r="BB144" s="216"/>
      <c r="BC144" s="2"/>
      <c r="BD144" s="2"/>
      <c r="BE144" s="2"/>
      <c r="BF144" s="2"/>
      <c r="BG144" s="2"/>
      <c r="BH144" s="2"/>
      <c r="BI144" s="2"/>
      <c r="BJ144" s="2"/>
      <c r="BK144" s="2"/>
      <c r="BL144" s="2"/>
      <c r="BM144" s="2"/>
      <c r="CI144" s="111"/>
      <c r="CJ144" s="111"/>
      <c r="CK144" s="111"/>
    </row>
    <row r="145" spans="4:89" s="28" customFormat="1" x14ac:dyDescent="0.35">
      <c r="D145" s="2"/>
      <c r="E145" s="2"/>
      <c r="F145" s="2"/>
      <c r="G145" s="2"/>
      <c r="H145" s="2"/>
      <c r="I145" s="2"/>
      <c r="J145" s="2"/>
      <c r="K145" s="2"/>
      <c r="L145" s="2"/>
      <c r="M145" s="2"/>
      <c r="N145" s="2"/>
      <c r="O145" s="2"/>
      <c r="P145" s="93"/>
      <c r="Q145" s="93"/>
      <c r="R145" s="93"/>
      <c r="S145" s="77"/>
      <c r="T145" s="77"/>
      <c r="U145" s="77"/>
      <c r="V145" s="77"/>
      <c r="W145" s="77"/>
      <c r="X145" s="182"/>
      <c r="Y145" s="182"/>
      <c r="Z145" s="182"/>
      <c r="AA145" s="61"/>
      <c r="AB145" s="61"/>
      <c r="AC145" s="61"/>
      <c r="AD145" s="61"/>
      <c r="AE145" s="61"/>
      <c r="AF145" s="93"/>
      <c r="AG145" s="93"/>
      <c r="AH145" s="93"/>
      <c r="AI145" s="155"/>
      <c r="AJ145" s="155"/>
      <c r="AK145" s="182"/>
      <c r="AL145" s="191"/>
      <c r="AM145" s="182"/>
      <c r="AN145" s="165"/>
      <c r="AO145" s="165"/>
      <c r="AP145" s="165"/>
      <c r="AQ145" s="182"/>
      <c r="AR145" s="182"/>
      <c r="AS145" s="182"/>
      <c r="AT145" s="61"/>
      <c r="AU145" s="61"/>
      <c r="AV145" s="61"/>
      <c r="AW145" s="201"/>
      <c r="AX145" s="201"/>
      <c r="AY145" s="216"/>
      <c r="AZ145" s="216"/>
      <c r="BA145" s="216"/>
      <c r="BB145" s="216"/>
      <c r="BC145" s="2"/>
      <c r="BD145" s="2"/>
      <c r="BE145" s="2"/>
      <c r="BF145" s="2"/>
      <c r="BG145" s="2"/>
      <c r="BH145" s="2"/>
      <c r="BI145" s="2"/>
      <c r="BJ145" s="2"/>
      <c r="BK145" s="2"/>
      <c r="BL145" s="2"/>
      <c r="BM145" s="2"/>
      <c r="CI145" s="111"/>
      <c r="CJ145" s="111"/>
      <c r="CK145" s="111"/>
    </row>
    <row r="146" spans="4:89" s="28" customFormat="1" x14ac:dyDescent="0.35">
      <c r="D146" s="2"/>
      <c r="E146" s="2"/>
      <c r="F146" s="2"/>
      <c r="G146" s="2"/>
      <c r="H146" s="2"/>
      <c r="I146" s="2"/>
      <c r="J146" s="2"/>
      <c r="K146" s="2"/>
      <c r="L146" s="2"/>
      <c r="M146" s="2"/>
      <c r="N146" s="2"/>
      <c r="O146" s="2"/>
      <c r="P146" s="93"/>
      <c r="Q146" s="93"/>
      <c r="R146" s="93"/>
      <c r="S146" s="77"/>
      <c r="T146" s="77"/>
      <c r="U146" s="77"/>
      <c r="V146" s="77"/>
      <c r="W146" s="77"/>
      <c r="X146" s="182"/>
      <c r="Y146" s="182"/>
      <c r="Z146" s="182"/>
      <c r="AA146" s="61"/>
      <c r="AB146" s="61"/>
      <c r="AC146" s="61"/>
      <c r="AD146" s="61"/>
      <c r="AE146" s="61"/>
      <c r="AF146" s="93"/>
      <c r="AG146" s="93"/>
      <c r="AH146" s="93"/>
      <c r="AI146" s="155"/>
      <c r="AJ146" s="155"/>
      <c r="AK146" s="182"/>
      <c r="AL146" s="191"/>
      <c r="AM146" s="182"/>
      <c r="AN146" s="165"/>
      <c r="AO146" s="165"/>
      <c r="AP146" s="165"/>
      <c r="AQ146" s="182"/>
      <c r="AR146" s="182"/>
      <c r="AS146" s="182"/>
      <c r="AT146" s="61"/>
      <c r="AU146" s="61"/>
      <c r="AV146" s="61"/>
      <c r="AW146" s="201"/>
      <c r="AX146" s="201"/>
      <c r="AY146" s="216"/>
      <c r="AZ146" s="216"/>
      <c r="BA146" s="216"/>
      <c r="BB146" s="216"/>
      <c r="BC146" s="2"/>
      <c r="BD146" s="2"/>
      <c r="BE146" s="2"/>
      <c r="BF146" s="2"/>
      <c r="BG146" s="2"/>
      <c r="BH146" s="2"/>
      <c r="BI146" s="2"/>
      <c r="BJ146" s="2"/>
      <c r="BK146" s="2"/>
      <c r="BL146" s="2"/>
      <c r="BM146" s="2"/>
      <c r="CI146" s="111"/>
      <c r="CJ146" s="111"/>
      <c r="CK146" s="111"/>
    </row>
    <row r="147" spans="4:89" s="28" customFormat="1" x14ac:dyDescent="0.35">
      <c r="D147" s="2"/>
      <c r="E147" s="2"/>
      <c r="F147" s="2"/>
      <c r="G147" s="2"/>
      <c r="H147" s="2"/>
      <c r="I147" s="2"/>
      <c r="J147" s="2"/>
      <c r="K147" s="2"/>
      <c r="L147" s="2"/>
      <c r="M147" s="2"/>
      <c r="N147" s="2"/>
      <c r="O147" s="2"/>
      <c r="P147" s="93"/>
      <c r="Q147" s="93"/>
      <c r="R147" s="93"/>
      <c r="S147" s="77"/>
      <c r="T147" s="77"/>
      <c r="U147" s="77"/>
      <c r="V147" s="77"/>
      <c r="W147" s="77"/>
      <c r="X147" s="182"/>
      <c r="Y147" s="182"/>
      <c r="Z147" s="182"/>
      <c r="AA147" s="61"/>
      <c r="AB147" s="61"/>
      <c r="AC147" s="61"/>
      <c r="AD147" s="61"/>
      <c r="AE147" s="61"/>
      <c r="AF147" s="93"/>
      <c r="AG147" s="93"/>
      <c r="AH147" s="93"/>
      <c r="AI147" s="155"/>
      <c r="AJ147" s="155"/>
      <c r="AK147" s="182"/>
      <c r="AL147" s="191"/>
      <c r="AM147" s="182"/>
      <c r="AN147" s="165"/>
      <c r="AO147" s="165"/>
      <c r="AP147" s="165"/>
      <c r="AQ147" s="182"/>
      <c r="AR147" s="182"/>
      <c r="AS147" s="182"/>
      <c r="AT147" s="61"/>
      <c r="AU147" s="61"/>
      <c r="AV147" s="61"/>
      <c r="AW147" s="201"/>
      <c r="AX147" s="201"/>
      <c r="AY147" s="216"/>
      <c r="AZ147" s="216"/>
      <c r="BA147" s="216"/>
      <c r="BB147" s="216"/>
      <c r="BC147" s="2"/>
      <c r="BD147" s="2"/>
      <c r="BE147" s="2"/>
      <c r="BF147" s="2"/>
      <c r="BG147" s="2"/>
      <c r="BH147" s="2"/>
      <c r="BI147" s="2"/>
      <c r="BJ147" s="2"/>
      <c r="BK147" s="2"/>
      <c r="BL147" s="2"/>
      <c r="BM147" s="2"/>
      <c r="CI147" s="111"/>
      <c r="CJ147" s="111"/>
      <c r="CK147" s="111"/>
    </row>
    <row r="148" spans="4:89" s="28" customFormat="1" x14ac:dyDescent="0.35">
      <c r="D148" s="2"/>
      <c r="E148" s="2"/>
      <c r="F148" s="2"/>
      <c r="G148" s="2"/>
      <c r="H148" s="2"/>
      <c r="I148" s="2"/>
      <c r="J148" s="2"/>
      <c r="K148" s="2"/>
      <c r="L148" s="2"/>
      <c r="M148" s="2"/>
      <c r="N148" s="2"/>
      <c r="O148" s="2"/>
      <c r="P148" s="93"/>
      <c r="Q148" s="93"/>
      <c r="R148" s="93"/>
      <c r="S148" s="77"/>
      <c r="T148" s="77"/>
      <c r="U148" s="77"/>
      <c r="V148" s="77"/>
      <c r="W148" s="77"/>
      <c r="X148" s="182"/>
      <c r="Y148" s="182"/>
      <c r="Z148" s="182"/>
      <c r="AA148" s="61"/>
      <c r="AB148" s="61"/>
      <c r="AC148" s="61"/>
      <c r="AD148" s="61"/>
      <c r="AE148" s="61"/>
      <c r="AF148" s="93"/>
      <c r="AG148" s="93"/>
      <c r="AH148" s="93"/>
      <c r="AI148" s="155"/>
      <c r="AJ148" s="155"/>
      <c r="AK148" s="182"/>
      <c r="AL148" s="191"/>
      <c r="AM148" s="182"/>
      <c r="AN148" s="165"/>
      <c r="AO148" s="165"/>
      <c r="AP148" s="165"/>
      <c r="AQ148" s="182"/>
      <c r="AR148" s="182"/>
      <c r="AS148" s="182"/>
      <c r="AT148" s="61"/>
      <c r="AU148" s="61"/>
      <c r="AV148" s="61"/>
      <c r="AW148" s="201"/>
      <c r="AX148" s="201"/>
      <c r="AY148" s="216"/>
      <c r="AZ148" s="216"/>
      <c r="BA148" s="216"/>
      <c r="BB148" s="216"/>
      <c r="BC148" s="2"/>
      <c r="BD148" s="2"/>
      <c r="BE148" s="2"/>
      <c r="BF148" s="2"/>
      <c r="BG148" s="2"/>
      <c r="BH148" s="2"/>
      <c r="BI148" s="2"/>
      <c r="BJ148" s="2"/>
      <c r="BK148" s="2"/>
      <c r="BL148" s="2"/>
      <c r="BM148" s="2"/>
      <c r="CI148" s="111"/>
      <c r="CJ148" s="111"/>
      <c r="CK148" s="111"/>
    </row>
    <row r="149" spans="4:89" s="28" customFormat="1" x14ac:dyDescent="0.35">
      <c r="D149" s="2"/>
      <c r="E149" s="2"/>
      <c r="F149" s="2"/>
      <c r="G149" s="2"/>
      <c r="H149" s="2"/>
      <c r="I149" s="2"/>
      <c r="J149" s="2"/>
      <c r="K149" s="2"/>
      <c r="L149" s="2"/>
      <c r="M149" s="2"/>
      <c r="N149" s="2"/>
      <c r="O149" s="2"/>
      <c r="P149" s="93"/>
      <c r="Q149" s="93"/>
      <c r="R149" s="93"/>
      <c r="S149" s="77"/>
      <c r="T149" s="77"/>
      <c r="U149" s="77"/>
      <c r="V149" s="77"/>
      <c r="W149" s="77"/>
      <c r="X149" s="182"/>
      <c r="Y149" s="182"/>
      <c r="Z149" s="182"/>
      <c r="AA149" s="61"/>
      <c r="AB149" s="61"/>
      <c r="AC149" s="61"/>
      <c r="AD149" s="61"/>
      <c r="AE149" s="61"/>
      <c r="AF149" s="93"/>
      <c r="AG149" s="93"/>
      <c r="AH149" s="93"/>
      <c r="AI149" s="155"/>
      <c r="AJ149" s="155"/>
      <c r="AK149" s="182"/>
      <c r="AL149" s="191"/>
      <c r="AM149" s="182"/>
      <c r="AN149" s="165"/>
      <c r="AO149" s="165"/>
      <c r="AP149" s="165"/>
      <c r="AQ149" s="182"/>
      <c r="AR149" s="182"/>
      <c r="AS149" s="182"/>
      <c r="AT149" s="61"/>
      <c r="AU149" s="61"/>
      <c r="AV149" s="61"/>
      <c r="AW149" s="201"/>
      <c r="AX149" s="201"/>
      <c r="AY149" s="216"/>
      <c r="AZ149" s="216"/>
      <c r="BA149" s="216"/>
      <c r="BB149" s="216"/>
      <c r="BC149" s="2"/>
      <c r="BD149" s="2"/>
      <c r="BE149" s="2"/>
      <c r="BF149" s="2"/>
      <c r="BG149" s="2"/>
      <c r="BH149" s="2"/>
      <c r="BI149" s="2"/>
      <c r="BJ149" s="2"/>
      <c r="BK149" s="2"/>
      <c r="BL149" s="2"/>
      <c r="BM149" s="2"/>
      <c r="CI149" s="111"/>
      <c r="CJ149" s="111"/>
      <c r="CK149" s="111"/>
    </row>
    <row r="150" spans="4:89" s="28" customFormat="1" x14ac:dyDescent="0.35">
      <c r="D150" s="2"/>
      <c r="E150" s="2"/>
      <c r="F150" s="2"/>
      <c r="G150" s="2"/>
      <c r="H150" s="2"/>
      <c r="I150" s="2"/>
      <c r="J150" s="2"/>
      <c r="K150" s="2"/>
      <c r="L150" s="2"/>
      <c r="M150" s="2"/>
      <c r="N150" s="2"/>
      <c r="O150" s="2"/>
      <c r="P150" s="93"/>
      <c r="Q150" s="93"/>
      <c r="R150" s="93"/>
      <c r="S150" s="77"/>
      <c r="T150" s="77"/>
      <c r="U150" s="77"/>
      <c r="V150" s="77"/>
      <c r="W150" s="77"/>
      <c r="X150" s="182"/>
      <c r="Y150" s="182"/>
      <c r="Z150" s="182"/>
      <c r="AA150" s="61"/>
      <c r="AB150" s="61"/>
      <c r="AC150" s="61"/>
      <c r="AD150" s="61"/>
      <c r="AE150" s="61"/>
      <c r="AF150" s="93"/>
      <c r="AG150" s="93"/>
      <c r="AH150" s="93"/>
      <c r="AI150" s="155"/>
      <c r="AJ150" s="155"/>
      <c r="AK150" s="182"/>
      <c r="AL150" s="191"/>
      <c r="AM150" s="182"/>
      <c r="AN150" s="165"/>
      <c r="AO150" s="165"/>
      <c r="AP150" s="165"/>
      <c r="AQ150" s="182"/>
      <c r="AR150" s="182"/>
      <c r="AS150" s="182"/>
      <c r="AT150" s="61"/>
      <c r="AU150" s="61"/>
      <c r="AV150" s="61"/>
      <c r="AW150" s="201"/>
      <c r="AX150" s="201"/>
      <c r="AY150" s="216"/>
      <c r="AZ150" s="216"/>
      <c r="BA150" s="216"/>
      <c r="BB150" s="216"/>
      <c r="BC150" s="2"/>
      <c r="BD150" s="2"/>
      <c r="BE150" s="2"/>
      <c r="BF150" s="2"/>
      <c r="BG150" s="2"/>
      <c r="BH150" s="2"/>
      <c r="BI150" s="2"/>
      <c r="BJ150" s="2"/>
      <c r="BK150" s="2"/>
      <c r="BL150" s="2"/>
      <c r="BM150" s="2"/>
      <c r="CI150" s="111"/>
      <c r="CJ150" s="111"/>
      <c r="CK150" s="111"/>
    </row>
    <row r="151" spans="4:89" s="28" customFormat="1" x14ac:dyDescent="0.35">
      <c r="D151" s="2"/>
      <c r="E151" s="2"/>
      <c r="F151" s="2"/>
      <c r="G151" s="2"/>
      <c r="H151" s="2"/>
      <c r="I151" s="2"/>
      <c r="J151" s="2"/>
      <c r="K151" s="2"/>
      <c r="L151" s="2"/>
      <c r="M151" s="2"/>
      <c r="N151" s="2"/>
      <c r="O151" s="2"/>
      <c r="P151" s="93"/>
      <c r="Q151" s="93"/>
      <c r="R151" s="93"/>
      <c r="S151" s="77"/>
      <c r="T151" s="77"/>
      <c r="U151" s="77"/>
      <c r="V151" s="77"/>
      <c r="W151" s="77"/>
      <c r="X151" s="182"/>
      <c r="Y151" s="182"/>
      <c r="Z151" s="182"/>
      <c r="AA151" s="61"/>
      <c r="AB151" s="61"/>
      <c r="AC151" s="61"/>
      <c r="AD151" s="61"/>
      <c r="AE151" s="61"/>
      <c r="AF151" s="93"/>
      <c r="AG151" s="93"/>
      <c r="AH151" s="93"/>
      <c r="AI151" s="155"/>
      <c r="AJ151" s="155"/>
      <c r="AK151" s="182"/>
      <c r="AL151" s="191"/>
      <c r="AM151" s="182"/>
      <c r="AN151" s="165"/>
      <c r="AO151" s="165"/>
      <c r="AP151" s="165"/>
      <c r="AQ151" s="182"/>
      <c r="AR151" s="182"/>
      <c r="AS151" s="182"/>
      <c r="AT151" s="61"/>
      <c r="AU151" s="61"/>
      <c r="AV151" s="61"/>
      <c r="AW151" s="201"/>
      <c r="AX151" s="201"/>
      <c r="AY151" s="216"/>
      <c r="AZ151" s="216"/>
      <c r="BA151" s="216"/>
      <c r="BB151" s="216"/>
      <c r="BC151" s="2"/>
      <c r="BD151" s="2"/>
      <c r="BE151" s="2"/>
      <c r="BF151" s="2"/>
      <c r="BG151" s="2"/>
      <c r="BH151" s="2"/>
      <c r="BI151" s="2"/>
      <c r="BJ151" s="2"/>
      <c r="BK151" s="2"/>
      <c r="BL151" s="2"/>
      <c r="BM151" s="2"/>
      <c r="CI151" s="111"/>
      <c r="CJ151" s="111"/>
      <c r="CK151" s="111"/>
    </row>
    <row r="152" spans="4:89" s="28" customFormat="1" x14ac:dyDescent="0.35">
      <c r="D152" s="2"/>
      <c r="E152" s="2"/>
      <c r="F152" s="2"/>
      <c r="G152" s="2"/>
      <c r="H152" s="2"/>
      <c r="I152" s="2"/>
      <c r="J152" s="2"/>
      <c r="K152" s="2"/>
      <c r="L152" s="2"/>
      <c r="M152" s="2"/>
      <c r="N152" s="2"/>
      <c r="O152" s="2"/>
      <c r="P152" s="93"/>
      <c r="Q152" s="93"/>
      <c r="R152" s="93"/>
      <c r="S152" s="77"/>
      <c r="T152" s="77"/>
      <c r="U152" s="77"/>
      <c r="V152" s="77"/>
      <c r="W152" s="77"/>
      <c r="X152" s="182"/>
      <c r="Y152" s="182"/>
      <c r="Z152" s="182"/>
      <c r="AA152" s="61"/>
      <c r="AB152" s="61"/>
      <c r="AC152" s="61"/>
      <c r="AD152" s="61"/>
      <c r="AE152" s="61"/>
      <c r="AF152" s="93"/>
      <c r="AG152" s="93"/>
      <c r="AH152" s="93"/>
      <c r="AI152" s="155"/>
      <c r="AJ152" s="155"/>
      <c r="AK152" s="182"/>
      <c r="AL152" s="191"/>
      <c r="AM152" s="182"/>
      <c r="AN152" s="165"/>
      <c r="AO152" s="165"/>
      <c r="AP152" s="165"/>
      <c r="AQ152" s="182"/>
      <c r="AR152" s="182"/>
      <c r="AS152" s="182"/>
      <c r="AT152" s="61"/>
      <c r="AU152" s="61"/>
      <c r="AV152" s="61"/>
      <c r="AW152" s="201"/>
      <c r="AX152" s="201"/>
      <c r="AY152" s="216"/>
      <c r="AZ152" s="216"/>
      <c r="BA152" s="216"/>
      <c r="BB152" s="216"/>
      <c r="BC152" s="2"/>
      <c r="BD152" s="2"/>
      <c r="BE152" s="2"/>
      <c r="BF152" s="2"/>
      <c r="BG152" s="2"/>
      <c r="BH152" s="2"/>
      <c r="BI152" s="2"/>
      <c r="BJ152" s="2"/>
      <c r="BK152" s="2"/>
      <c r="BL152" s="2"/>
      <c r="BM152" s="2"/>
      <c r="CI152" s="111"/>
      <c r="CJ152" s="111"/>
      <c r="CK152" s="111"/>
    </row>
    <row r="153" spans="4:89" s="28" customFormat="1" x14ac:dyDescent="0.35">
      <c r="D153" s="2"/>
      <c r="E153" s="2"/>
      <c r="F153" s="2"/>
      <c r="G153" s="2"/>
      <c r="H153" s="2"/>
      <c r="I153" s="2"/>
      <c r="J153" s="2"/>
      <c r="K153" s="2"/>
      <c r="L153" s="2"/>
      <c r="M153" s="2"/>
      <c r="N153" s="2"/>
      <c r="O153" s="2"/>
      <c r="P153" s="93"/>
      <c r="Q153" s="93"/>
      <c r="R153" s="93"/>
      <c r="S153" s="77"/>
      <c r="T153" s="77"/>
      <c r="U153" s="77"/>
      <c r="V153" s="77"/>
      <c r="W153" s="77"/>
      <c r="X153" s="182"/>
      <c r="Y153" s="182"/>
      <c r="Z153" s="182"/>
      <c r="AA153" s="61"/>
      <c r="AB153" s="61"/>
      <c r="AC153" s="61"/>
      <c r="AD153" s="61"/>
      <c r="AE153" s="61"/>
      <c r="AF153" s="93"/>
      <c r="AG153" s="93"/>
      <c r="AH153" s="93"/>
      <c r="AI153" s="155"/>
      <c r="AJ153" s="155"/>
      <c r="AK153" s="182"/>
      <c r="AL153" s="191"/>
      <c r="AM153" s="182"/>
      <c r="AN153" s="165"/>
      <c r="AO153" s="165"/>
      <c r="AP153" s="165"/>
      <c r="AQ153" s="182"/>
      <c r="AR153" s="182"/>
      <c r="AS153" s="182"/>
      <c r="AT153" s="61"/>
      <c r="AU153" s="61"/>
      <c r="AV153" s="61"/>
      <c r="AW153" s="201"/>
      <c r="AX153" s="201"/>
      <c r="AY153" s="216"/>
      <c r="AZ153" s="216"/>
      <c r="BA153" s="216"/>
      <c r="BB153" s="216"/>
      <c r="BC153" s="2"/>
      <c r="BD153" s="2"/>
      <c r="BE153" s="2"/>
      <c r="BF153" s="2"/>
      <c r="BG153" s="2"/>
      <c r="BH153" s="2"/>
      <c r="BI153" s="2"/>
      <c r="BJ153" s="2"/>
      <c r="BK153" s="2"/>
      <c r="BL153" s="2"/>
      <c r="BM153" s="2"/>
      <c r="CI153" s="111"/>
      <c r="CJ153" s="111"/>
      <c r="CK153" s="111"/>
    </row>
    <row r="154" spans="4:89" s="28" customFormat="1" x14ac:dyDescent="0.35">
      <c r="D154" s="2"/>
      <c r="E154" s="2"/>
      <c r="F154" s="2"/>
      <c r="G154" s="2"/>
      <c r="H154" s="2"/>
      <c r="I154" s="2"/>
      <c r="J154" s="2"/>
      <c r="K154" s="2"/>
      <c r="L154" s="2"/>
      <c r="M154" s="2"/>
      <c r="N154" s="2"/>
      <c r="O154" s="2"/>
      <c r="P154" s="93"/>
      <c r="Q154" s="93"/>
      <c r="R154" s="93"/>
      <c r="S154" s="77"/>
      <c r="T154" s="77"/>
      <c r="U154" s="77"/>
      <c r="V154" s="77"/>
      <c r="W154" s="77"/>
      <c r="X154" s="182"/>
      <c r="Y154" s="182"/>
      <c r="Z154" s="182"/>
      <c r="AA154" s="61"/>
      <c r="AB154" s="61"/>
      <c r="AC154" s="61"/>
      <c r="AD154" s="61"/>
      <c r="AE154" s="61"/>
      <c r="AF154" s="93"/>
      <c r="AG154" s="93"/>
      <c r="AH154" s="93"/>
      <c r="AI154" s="155"/>
      <c r="AJ154" s="155"/>
      <c r="AK154" s="182"/>
      <c r="AL154" s="191"/>
      <c r="AM154" s="182"/>
      <c r="AN154" s="165"/>
      <c r="AO154" s="165"/>
      <c r="AP154" s="165"/>
      <c r="AQ154" s="182"/>
      <c r="AR154" s="182"/>
      <c r="AS154" s="182"/>
      <c r="AT154" s="61"/>
      <c r="AU154" s="61"/>
      <c r="AV154" s="61"/>
      <c r="AW154" s="201"/>
      <c r="AX154" s="201"/>
      <c r="AY154" s="216"/>
      <c r="AZ154" s="216"/>
      <c r="BA154" s="216"/>
      <c r="BB154" s="216"/>
      <c r="BC154" s="2"/>
      <c r="BD154" s="2"/>
      <c r="BE154" s="2"/>
      <c r="BF154" s="2"/>
      <c r="BG154" s="2"/>
      <c r="BH154" s="2"/>
      <c r="BI154" s="2"/>
      <c r="BJ154" s="2"/>
      <c r="BK154" s="2"/>
      <c r="BL154" s="2"/>
      <c r="BM154" s="2"/>
      <c r="CI154" s="111"/>
      <c r="CJ154" s="111"/>
      <c r="CK154" s="111"/>
    </row>
    <row r="155" spans="4:89" s="28" customFormat="1" x14ac:dyDescent="0.35">
      <c r="D155" s="2"/>
      <c r="E155" s="2"/>
      <c r="F155" s="2"/>
      <c r="G155" s="2"/>
      <c r="H155" s="2"/>
      <c r="I155" s="2"/>
      <c r="J155" s="2"/>
      <c r="K155" s="2"/>
      <c r="L155" s="2"/>
      <c r="M155" s="2"/>
      <c r="N155" s="2"/>
      <c r="O155" s="2"/>
      <c r="P155" s="93"/>
      <c r="Q155" s="93"/>
      <c r="R155" s="93"/>
      <c r="S155" s="77"/>
      <c r="T155" s="77"/>
      <c r="U155" s="77"/>
      <c r="V155" s="77"/>
      <c r="W155" s="77"/>
      <c r="X155" s="182"/>
      <c r="Y155" s="182"/>
      <c r="Z155" s="182"/>
      <c r="AA155" s="61"/>
      <c r="AB155" s="61"/>
      <c r="AC155" s="61"/>
      <c r="AD155" s="61"/>
      <c r="AE155" s="61"/>
      <c r="AF155" s="93"/>
      <c r="AG155" s="93"/>
      <c r="AH155" s="93"/>
      <c r="AI155" s="155"/>
      <c r="AJ155" s="155"/>
      <c r="AK155" s="182"/>
      <c r="AL155" s="191"/>
      <c r="AM155" s="182"/>
      <c r="AN155" s="165"/>
      <c r="AO155" s="165"/>
      <c r="AP155" s="165"/>
      <c r="AQ155" s="182"/>
      <c r="AR155" s="182"/>
      <c r="AS155" s="182"/>
      <c r="AT155" s="61"/>
      <c r="AU155" s="61"/>
      <c r="AV155" s="61"/>
      <c r="AW155" s="201"/>
      <c r="AX155" s="201"/>
      <c r="AY155" s="216"/>
      <c r="AZ155" s="216"/>
      <c r="BA155" s="216"/>
      <c r="BB155" s="216"/>
      <c r="BC155" s="2"/>
      <c r="BD155" s="2"/>
      <c r="BE155" s="2"/>
      <c r="BF155" s="2"/>
      <c r="BG155" s="2"/>
      <c r="BH155" s="2"/>
      <c r="BI155" s="2"/>
      <c r="BJ155" s="2"/>
      <c r="BK155" s="2"/>
      <c r="BL155" s="2"/>
      <c r="BM155" s="2"/>
      <c r="CI155" s="111"/>
      <c r="CJ155" s="111"/>
      <c r="CK155" s="111"/>
    </row>
    <row r="156" spans="4:89" s="28" customFormat="1" x14ac:dyDescent="0.35">
      <c r="D156" s="2"/>
      <c r="E156" s="2"/>
      <c r="F156" s="2"/>
      <c r="G156" s="2"/>
      <c r="H156" s="2"/>
      <c r="I156" s="2"/>
      <c r="J156" s="2"/>
      <c r="K156" s="2"/>
      <c r="L156" s="2"/>
      <c r="M156" s="2"/>
      <c r="N156" s="2"/>
      <c r="O156" s="2"/>
      <c r="P156" s="93"/>
      <c r="Q156" s="93"/>
      <c r="R156" s="93"/>
      <c r="S156" s="77"/>
      <c r="T156" s="77"/>
      <c r="U156" s="77"/>
      <c r="V156" s="77"/>
      <c r="W156" s="77"/>
      <c r="X156" s="182"/>
      <c r="Y156" s="182"/>
      <c r="Z156" s="182"/>
      <c r="AA156" s="61"/>
      <c r="AB156" s="61"/>
      <c r="AC156" s="61"/>
      <c r="AD156" s="61"/>
      <c r="AE156" s="61"/>
      <c r="AF156" s="93"/>
      <c r="AG156" s="93"/>
      <c r="AH156" s="93"/>
      <c r="AI156" s="155"/>
      <c r="AJ156" s="155"/>
      <c r="AK156" s="182"/>
      <c r="AL156" s="191"/>
      <c r="AM156" s="182"/>
      <c r="AN156" s="165"/>
      <c r="AO156" s="165"/>
      <c r="AP156" s="165"/>
      <c r="AQ156" s="182"/>
      <c r="AR156" s="182"/>
      <c r="AS156" s="182"/>
      <c r="AT156" s="61"/>
      <c r="AU156" s="61"/>
      <c r="AV156" s="61"/>
      <c r="AW156" s="201"/>
      <c r="AX156" s="201"/>
      <c r="AY156" s="216"/>
      <c r="AZ156" s="216"/>
      <c r="BA156" s="216"/>
      <c r="BB156" s="216"/>
      <c r="BC156" s="2"/>
      <c r="BD156" s="2"/>
      <c r="BE156" s="2"/>
      <c r="BF156" s="2"/>
      <c r="BG156" s="2"/>
      <c r="BH156" s="2"/>
      <c r="BI156" s="2"/>
      <c r="BJ156" s="2"/>
      <c r="BK156" s="2"/>
      <c r="BL156" s="2"/>
      <c r="BM156" s="2"/>
      <c r="BN156" s="76"/>
      <c r="CI156" s="111"/>
      <c r="CJ156" s="111"/>
      <c r="CK156" s="111"/>
    </row>
    <row r="157" spans="4:89" s="28" customFormat="1" x14ac:dyDescent="0.35">
      <c r="D157" s="2"/>
      <c r="E157" s="2"/>
      <c r="F157" s="2"/>
      <c r="G157" s="2"/>
      <c r="H157" s="2"/>
      <c r="I157" s="2"/>
      <c r="J157" s="2"/>
      <c r="K157" s="2"/>
      <c r="L157" s="2"/>
      <c r="M157" s="2"/>
      <c r="N157" s="2"/>
      <c r="O157" s="2"/>
      <c r="P157" s="93"/>
      <c r="Q157" s="93"/>
      <c r="R157" s="93"/>
      <c r="S157" s="77"/>
      <c r="T157" s="77"/>
      <c r="U157" s="77"/>
      <c r="V157" s="77"/>
      <c r="W157" s="77"/>
      <c r="X157" s="182"/>
      <c r="Y157" s="182"/>
      <c r="Z157" s="182"/>
      <c r="AA157" s="61"/>
      <c r="AB157" s="61"/>
      <c r="AC157" s="61"/>
      <c r="AD157" s="61"/>
      <c r="AE157" s="61"/>
      <c r="AF157" s="93"/>
      <c r="AG157" s="93"/>
      <c r="AH157" s="93"/>
      <c r="AI157" s="155"/>
      <c r="AJ157" s="155"/>
      <c r="AK157" s="182"/>
      <c r="AL157" s="191"/>
      <c r="AM157" s="182"/>
      <c r="AN157" s="165"/>
      <c r="AO157" s="165"/>
      <c r="AP157" s="165"/>
      <c r="AQ157" s="182"/>
      <c r="AR157" s="182"/>
      <c r="AS157" s="182"/>
      <c r="AT157" s="61"/>
      <c r="AU157" s="61"/>
      <c r="AV157" s="61"/>
      <c r="AW157" s="201"/>
      <c r="AX157" s="201"/>
      <c r="AY157" s="216"/>
      <c r="AZ157" s="216"/>
      <c r="BA157" s="216"/>
      <c r="BB157" s="216"/>
      <c r="BC157" s="2"/>
      <c r="BD157" s="2"/>
      <c r="BE157" s="2"/>
      <c r="BF157" s="2"/>
      <c r="BG157" s="2"/>
      <c r="BH157" s="2"/>
      <c r="BI157" s="2"/>
      <c r="BJ157" s="2"/>
      <c r="BK157" s="2"/>
      <c r="BL157" s="2"/>
      <c r="BM157" s="2"/>
      <c r="CI157" s="111"/>
      <c r="CJ157" s="111"/>
      <c r="CK157" s="111"/>
    </row>
    <row r="158" spans="4:89" s="28" customFormat="1" x14ac:dyDescent="0.35">
      <c r="D158" s="2"/>
      <c r="E158" s="2"/>
      <c r="F158" s="2"/>
      <c r="G158" s="2"/>
      <c r="H158" s="2"/>
      <c r="I158" s="2"/>
      <c r="J158" s="2"/>
      <c r="K158" s="2"/>
      <c r="L158" s="2"/>
      <c r="M158" s="2"/>
      <c r="N158" s="2"/>
      <c r="O158" s="2"/>
      <c r="P158" s="93"/>
      <c r="Q158" s="93"/>
      <c r="R158" s="93"/>
      <c r="S158" s="77"/>
      <c r="T158" s="77"/>
      <c r="U158" s="77"/>
      <c r="V158" s="77"/>
      <c r="W158" s="77"/>
      <c r="X158" s="182"/>
      <c r="Y158" s="182"/>
      <c r="Z158" s="182"/>
      <c r="AA158" s="61"/>
      <c r="AB158" s="61"/>
      <c r="AC158" s="61"/>
      <c r="AD158" s="61"/>
      <c r="AE158" s="61"/>
      <c r="AF158" s="93"/>
      <c r="AG158" s="93"/>
      <c r="AH158" s="93"/>
      <c r="AI158" s="155"/>
      <c r="AJ158" s="155"/>
      <c r="AK158" s="182"/>
      <c r="AL158" s="191"/>
      <c r="AM158" s="182"/>
      <c r="AN158" s="165"/>
      <c r="AO158" s="165"/>
      <c r="AP158" s="165"/>
      <c r="AQ158" s="182"/>
      <c r="AR158" s="182"/>
      <c r="AS158" s="182"/>
      <c r="AT158" s="61"/>
      <c r="AU158" s="61"/>
      <c r="AV158" s="61"/>
      <c r="AW158" s="201"/>
      <c r="AX158" s="201"/>
      <c r="AY158" s="216"/>
      <c r="AZ158" s="216"/>
      <c r="BA158" s="216"/>
      <c r="BB158" s="216"/>
      <c r="BC158" s="2"/>
      <c r="BD158" s="2"/>
      <c r="BE158" s="2"/>
      <c r="BF158" s="2"/>
      <c r="BG158" s="2"/>
      <c r="BH158" s="2"/>
      <c r="BI158" s="2"/>
      <c r="BJ158" s="2"/>
      <c r="BK158" s="2"/>
      <c r="BL158" s="2"/>
      <c r="BM158" s="2"/>
      <c r="CI158" s="111"/>
      <c r="CJ158" s="111"/>
      <c r="CK158" s="111"/>
    </row>
    <row r="159" spans="4:89" s="28" customFormat="1" x14ac:dyDescent="0.35">
      <c r="D159" s="2"/>
      <c r="E159" s="2"/>
      <c r="F159" s="2"/>
      <c r="G159" s="2"/>
      <c r="H159" s="2"/>
      <c r="I159" s="2"/>
      <c r="J159" s="2"/>
      <c r="K159" s="2"/>
      <c r="L159" s="2"/>
      <c r="M159" s="2"/>
      <c r="N159" s="2"/>
      <c r="O159" s="2"/>
      <c r="P159" s="93"/>
      <c r="Q159" s="93"/>
      <c r="R159" s="93"/>
      <c r="S159" s="77"/>
      <c r="T159" s="77"/>
      <c r="U159" s="77"/>
      <c r="V159" s="77"/>
      <c r="W159" s="77"/>
      <c r="X159" s="182"/>
      <c r="Y159" s="182"/>
      <c r="Z159" s="182"/>
      <c r="AA159" s="61"/>
      <c r="AB159" s="61"/>
      <c r="AC159" s="61"/>
      <c r="AD159" s="61"/>
      <c r="AE159" s="61"/>
      <c r="AF159" s="93"/>
      <c r="AG159" s="93"/>
      <c r="AH159" s="93"/>
      <c r="AI159" s="155"/>
      <c r="AJ159" s="155"/>
      <c r="AK159" s="182"/>
      <c r="AL159" s="191"/>
      <c r="AM159" s="182"/>
      <c r="AN159" s="165"/>
      <c r="AO159" s="165"/>
      <c r="AP159" s="165"/>
      <c r="AQ159" s="182"/>
      <c r="AR159" s="182"/>
      <c r="AS159" s="182"/>
      <c r="AT159" s="61"/>
      <c r="AU159" s="61"/>
      <c r="AV159" s="61"/>
      <c r="AW159" s="201"/>
      <c r="AX159" s="201"/>
      <c r="AY159" s="216"/>
      <c r="AZ159" s="216"/>
      <c r="BA159" s="216"/>
      <c r="BB159" s="216"/>
      <c r="BC159" s="2"/>
      <c r="BD159" s="2"/>
      <c r="BE159" s="2"/>
      <c r="BF159" s="2"/>
      <c r="BG159" s="2"/>
      <c r="BH159" s="2"/>
      <c r="BI159" s="2"/>
      <c r="BJ159" s="2"/>
      <c r="BK159" s="2"/>
      <c r="BL159" s="2"/>
      <c r="BM159" s="2"/>
      <c r="CI159" s="111"/>
      <c r="CJ159" s="111"/>
      <c r="CK159" s="111"/>
    </row>
    <row r="160" spans="4:89" s="28" customFormat="1" x14ac:dyDescent="0.35">
      <c r="D160" s="2"/>
      <c r="E160" s="2"/>
      <c r="F160" s="2"/>
      <c r="G160" s="2"/>
      <c r="H160" s="2"/>
      <c r="I160" s="2"/>
      <c r="J160" s="2"/>
      <c r="K160" s="2"/>
      <c r="L160" s="2"/>
      <c r="M160" s="2"/>
      <c r="N160" s="2"/>
      <c r="O160" s="2"/>
      <c r="P160" s="93"/>
      <c r="Q160" s="93"/>
      <c r="R160" s="93"/>
      <c r="S160" s="77"/>
      <c r="T160" s="77"/>
      <c r="U160" s="77"/>
      <c r="V160" s="77"/>
      <c r="W160" s="77"/>
      <c r="X160" s="182"/>
      <c r="Y160" s="182"/>
      <c r="Z160" s="182"/>
      <c r="AA160" s="61"/>
      <c r="AB160" s="61"/>
      <c r="AC160" s="61"/>
      <c r="AD160" s="61"/>
      <c r="AE160" s="61"/>
      <c r="AF160" s="93"/>
      <c r="AG160" s="93"/>
      <c r="AH160" s="93"/>
      <c r="AI160" s="155"/>
      <c r="AJ160" s="155"/>
      <c r="AK160" s="182"/>
      <c r="AL160" s="191"/>
      <c r="AM160" s="182"/>
      <c r="AN160" s="165"/>
      <c r="AO160" s="165"/>
      <c r="AP160" s="165"/>
      <c r="AQ160" s="182"/>
      <c r="AR160" s="182"/>
      <c r="AS160" s="182"/>
      <c r="AT160" s="61"/>
      <c r="AU160" s="61"/>
      <c r="AV160" s="61"/>
      <c r="AW160" s="201"/>
      <c r="AX160" s="201"/>
      <c r="AY160" s="216"/>
      <c r="AZ160" s="216"/>
      <c r="BA160" s="216"/>
      <c r="BB160" s="216"/>
      <c r="BC160" s="2"/>
      <c r="BD160" s="2"/>
      <c r="BE160" s="2"/>
      <c r="BF160" s="2"/>
      <c r="BG160" s="2"/>
      <c r="BH160" s="2"/>
      <c r="BI160" s="2"/>
      <c r="BJ160" s="2"/>
      <c r="BK160" s="2"/>
      <c r="BL160" s="2"/>
      <c r="BM160" s="2"/>
      <c r="CI160" s="111"/>
      <c r="CJ160" s="111"/>
      <c r="CK160" s="111"/>
    </row>
    <row r="161" spans="4:89" s="28" customFormat="1" x14ac:dyDescent="0.35">
      <c r="D161" s="2"/>
      <c r="E161" s="2"/>
      <c r="F161" s="2"/>
      <c r="G161" s="2"/>
      <c r="H161" s="2"/>
      <c r="I161" s="2"/>
      <c r="J161" s="2"/>
      <c r="K161" s="2"/>
      <c r="L161" s="2"/>
      <c r="M161" s="2"/>
      <c r="N161" s="2"/>
      <c r="O161" s="2"/>
      <c r="P161" s="93"/>
      <c r="Q161" s="93"/>
      <c r="R161" s="93"/>
      <c r="S161" s="77"/>
      <c r="T161" s="77"/>
      <c r="U161" s="77"/>
      <c r="V161" s="77"/>
      <c r="W161" s="77"/>
      <c r="X161" s="182"/>
      <c r="Y161" s="182"/>
      <c r="Z161" s="182"/>
      <c r="AA161" s="61"/>
      <c r="AB161" s="61"/>
      <c r="AC161" s="61"/>
      <c r="AD161" s="61"/>
      <c r="AE161" s="61"/>
      <c r="AF161" s="93"/>
      <c r="AG161" s="93"/>
      <c r="AH161" s="93"/>
      <c r="AI161" s="155"/>
      <c r="AJ161" s="155"/>
      <c r="AK161" s="182"/>
      <c r="AL161" s="191"/>
      <c r="AM161" s="182"/>
      <c r="AN161" s="165"/>
      <c r="AO161" s="165"/>
      <c r="AP161" s="165"/>
      <c r="AQ161" s="182"/>
      <c r="AR161" s="182"/>
      <c r="AS161" s="182"/>
      <c r="AT161" s="61"/>
      <c r="AU161" s="61"/>
      <c r="AV161" s="61"/>
      <c r="AW161" s="201"/>
      <c r="AX161" s="201"/>
      <c r="AY161" s="216"/>
      <c r="AZ161" s="216"/>
      <c r="BA161" s="216"/>
      <c r="BB161" s="216"/>
      <c r="BC161" s="2"/>
      <c r="BD161" s="2"/>
      <c r="BE161" s="2"/>
      <c r="BF161" s="2"/>
      <c r="BG161" s="2"/>
      <c r="BH161" s="2"/>
      <c r="BI161" s="2"/>
      <c r="BJ161" s="2"/>
      <c r="BK161" s="2"/>
      <c r="BL161" s="2"/>
      <c r="BM161" s="2"/>
      <c r="CI161" s="111"/>
      <c r="CJ161" s="111"/>
      <c r="CK161" s="111"/>
    </row>
    <row r="162" spans="4:89" s="28" customFormat="1" x14ac:dyDescent="0.35">
      <c r="D162" s="2"/>
      <c r="E162" s="2"/>
      <c r="F162" s="2"/>
      <c r="G162" s="2"/>
      <c r="H162" s="2"/>
      <c r="I162" s="2"/>
      <c r="J162" s="2"/>
      <c r="K162" s="2"/>
      <c r="L162" s="2"/>
      <c r="M162" s="2"/>
      <c r="N162" s="2"/>
      <c r="O162" s="2"/>
      <c r="P162" s="93"/>
      <c r="Q162" s="93"/>
      <c r="R162" s="93"/>
      <c r="S162" s="77"/>
      <c r="T162" s="77"/>
      <c r="U162" s="77"/>
      <c r="V162" s="77"/>
      <c r="W162" s="77"/>
      <c r="X162" s="182"/>
      <c r="Y162" s="182"/>
      <c r="Z162" s="182"/>
      <c r="AA162" s="61"/>
      <c r="AB162" s="61"/>
      <c r="AC162" s="61"/>
      <c r="AD162" s="61"/>
      <c r="AE162" s="61"/>
      <c r="AF162" s="93"/>
      <c r="AG162" s="93"/>
      <c r="AH162" s="93"/>
      <c r="AI162" s="155"/>
      <c r="AJ162" s="155"/>
      <c r="AK162" s="182"/>
      <c r="AL162" s="191"/>
      <c r="AM162" s="182"/>
      <c r="AN162" s="165"/>
      <c r="AO162" s="165"/>
      <c r="AP162" s="165"/>
      <c r="AQ162" s="182"/>
      <c r="AR162" s="182"/>
      <c r="AS162" s="182"/>
      <c r="AT162" s="61"/>
      <c r="AU162" s="61"/>
      <c r="AV162" s="61"/>
      <c r="AW162" s="201"/>
      <c r="AX162" s="201"/>
      <c r="AY162" s="216"/>
      <c r="AZ162" s="216"/>
      <c r="BA162" s="216"/>
      <c r="BB162" s="216"/>
      <c r="BC162" s="2"/>
      <c r="BD162" s="2"/>
      <c r="BE162" s="2"/>
      <c r="BF162" s="2"/>
      <c r="BG162" s="2"/>
      <c r="BH162" s="2"/>
      <c r="BI162" s="2"/>
      <c r="BJ162" s="2"/>
      <c r="BK162" s="2"/>
      <c r="BL162" s="2"/>
      <c r="BM162" s="2"/>
      <c r="CI162" s="111"/>
      <c r="CJ162" s="111"/>
      <c r="CK162" s="111"/>
    </row>
    <row r="163" spans="4:89" s="28" customFormat="1" x14ac:dyDescent="0.35">
      <c r="D163" s="2"/>
      <c r="E163" s="2"/>
      <c r="F163" s="2"/>
      <c r="G163" s="2"/>
      <c r="H163" s="2"/>
      <c r="I163" s="2"/>
      <c r="J163" s="2"/>
      <c r="K163" s="2"/>
      <c r="L163" s="2"/>
      <c r="M163" s="2"/>
      <c r="N163" s="2"/>
      <c r="O163" s="2"/>
      <c r="P163" s="93"/>
      <c r="Q163" s="93"/>
      <c r="R163" s="93"/>
      <c r="S163" s="77"/>
      <c r="T163" s="77"/>
      <c r="U163" s="77"/>
      <c r="V163" s="77"/>
      <c r="W163" s="77"/>
      <c r="X163" s="182"/>
      <c r="Y163" s="182"/>
      <c r="Z163" s="182"/>
      <c r="AA163" s="61"/>
      <c r="AB163" s="61"/>
      <c r="AC163" s="61"/>
      <c r="AD163" s="61"/>
      <c r="AE163" s="61"/>
      <c r="AF163" s="93"/>
      <c r="AG163" s="93"/>
      <c r="AH163" s="93"/>
      <c r="AI163" s="155"/>
      <c r="AJ163" s="155"/>
      <c r="AK163" s="182"/>
      <c r="AL163" s="191"/>
      <c r="AM163" s="182"/>
      <c r="AN163" s="165"/>
      <c r="AO163" s="165"/>
      <c r="AP163" s="165"/>
      <c r="AQ163" s="182"/>
      <c r="AR163" s="182"/>
      <c r="AS163" s="182"/>
      <c r="AT163" s="61"/>
      <c r="AU163" s="61"/>
      <c r="AV163" s="61"/>
      <c r="AW163" s="201"/>
      <c r="AX163" s="201"/>
      <c r="AY163" s="216"/>
      <c r="AZ163" s="216"/>
      <c r="BA163" s="216"/>
      <c r="BB163" s="216"/>
      <c r="BC163" s="2"/>
      <c r="BD163" s="2"/>
      <c r="BE163" s="2"/>
      <c r="BF163" s="2"/>
      <c r="BG163" s="2"/>
      <c r="BH163" s="2"/>
      <c r="BI163" s="2"/>
      <c r="BJ163" s="2"/>
      <c r="BK163" s="2"/>
      <c r="BL163" s="2"/>
      <c r="BM163" s="2"/>
      <c r="CI163" s="111"/>
      <c r="CJ163" s="111"/>
      <c r="CK163" s="111"/>
    </row>
    <row r="164" spans="4:89" s="28" customFormat="1" x14ac:dyDescent="0.35">
      <c r="D164" s="2"/>
      <c r="E164" s="2"/>
      <c r="F164" s="2"/>
      <c r="G164" s="2"/>
      <c r="H164" s="2"/>
      <c r="I164" s="2"/>
      <c r="J164" s="2"/>
      <c r="K164" s="2"/>
      <c r="L164" s="2"/>
      <c r="M164" s="2"/>
      <c r="N164" s="2"/>
      <c r="O164" s="2"/>
      <c r="P164" s="93"/>
      <c r="Q164" s="93"/>
      <c r="R164" s="93"/>
      <c r="S164" s="77"/>
      <c r="T164" s="77"/>
      <c r="U164" s="77"/>
      <c r="V164" s="77"/>
      <c r="W164" s="77"/>
      <c r="X164" s="182"/>
      <c r="Y164" s="182"/>
      <c r="Z164" s="182"/>
      <c r="AA164" s="61"/>
      <c r="AB164" s="61"/>
      <c r="AC164" s="61"/>
      <c r="AD164" s="61"/>
      <c r="AE164" s="61"/>
      <c r="AF164" s="93"/>
      <c r="AG164" s="93"/>
      <c r="AH164" s="93"/>
      <c r="AI164" s="155"/>
      <c r="AJ164" s="155"/>
      <c r="AK164" s="182"/>
      <c r="AL164" s="191"/>
      <c r="AM164" s="182"/>
      <c r="AN164" s="165"/>
      <c r="AO164" s="165"/>
      <c r="AP164" s="165"/>
      <c r="AQ164" s="182"/>
      <c r="AR164" s="182"/>
      <c r="AS164" s="182"/>
      <c r="AT164" s="61"/>
      <c r="AU164" s="61"/>
      <c r="AV164" s="61"/>
      <c r="AW164" s="201"/>
      <c r="AX164" s="201"/>
      <c r="AY164" s="216"/>
      <c r="AZ164" s="216"/>
      <c r="BA164" s="216"/>
      <c r="BB164" s="216"/>
      <c r="BC164" s="2"/>
      <c r="BD164" s="2"/>
      <c r="BE164" s="2"/>
      <c r="BF164" s="2"/>
      <c r="BG164" s="2"/>
      <c r="BH164" s="2"/>
      <c r="BI164" s="2"/>
      <c r="BJ164" s="2"/>
      <c r="BK164" s="2"/>
      <c r="BL164" s="2"/>
      <c r="BM164" s="2"/>
      <c r="CI164" s="111"/>
      <c r="CJ164" s="111"/>
      <c r="CK164" s="111"/>
    </row>
    <row r="165" spans="4:89" s="28" customFormat="1" x14ac:dyDescent="0.35">
      <c r="D165" s="2"/>
      <c r="E165" s="2"/>
      <c r="F165" s="2"/>
      <c r="G165" s="2"/>
      <c r="H165" s="2"/>
      <c r="I165" s="2"/>
      <c r="J165" s="2"/>
      <c r="K165" s="2"/>
      <c r="L165" s="2"/>
      <c r="M165" s="2"/>
      <c r="N165" s="2"/>
      <c r="O165" s="2"/>
      <c r="P165" s="93"/>
      <c r="Q165" s="93"/>
      <c r="R165" s="93"/>
      <c r="S165" s="77"/>
      <c r="T165" s="77"/>
      <c r="U165" s="77"/>
      <c r="V165" s="77"/>
      <c r="W165" s="77"/>
      <c r="X165" s="182"/>
      <c r="Y165" s="182"/>
      <c r="Z165" s="182"/>
      <c r="AA165" s="61"/>
      <c r="AB165" s="61"/>
      <c r="AC165" s="61"/>
      <c r="AD165" s="61"/>
      <c r="AE165" s="61"/>
      <c r="AF165" s="93"/>
      <c r="AG165" s="93"/>
      <c r="AH165" s="93"/>
      <c r="AI165" s="155"/>
      <c r="AJ165" s="155"/>
      <c r="AK165" s="182"/>
      <c r="AL165" s="191"/>
      <c r="AM165" s="182"/>
      <c r="AN165" s="165"/>
      <c r="AO165" s="165"/>
      <c r="AP165" s="165"/>
      <c r="AQ165" s="182"/>
      <c r="AR165" s="182"/>
      <c r="AS165" s="182"/>
      <c r="AT165" s="61"/>
      <c r="AU165" s="61"/>
      <c r="AV165" s="61"/>
      <c r="AW165" s="201"/>
      <c r="AX165" s="201"/>
      <c r="AY165" s="216"/>
      <c r="AZ165" s="216"/>
      <c r="BA165" s="216"/>
      <c r="BB165" s="216"/>
      <c r="BC165" s="2"/>
      <c r="BD165" s="2"/>
      <c r="BE165" s="2"/>
      <c r="BF165" s="2"/>
      <c r="BG165" s="2"/>
      <c r="BH165" s="2"/>
      <c r="BI165" s="2"/>
      <c r="BJ165" s="2"/>
      <c r="BK165" s="2"/>
      <c r="BL165" s="2"/>
      <c r="BM165" s="2"/>
      <c r="CI165" s="111"/>
      <c r="CJ165" s="111"/>
      <c r="CK165" s="111"/>
    </row>
    <row r="166" spans="4:89" s="28" customFormat="1" x14ac:dyDescent="0.35">
      <c r="D166" s="2"/>
      <c r="E166" s="2"/>
      <c r="F166" s="2"/>
      <c r="G166" s="2"/>
      <c r="H166" s="2"/>
      <c r="I166" s="2"/>
      <c r="J166" s="2"/>
      <c r="K166" s="2"/>
      <c r="L166" s="2"/>
      <c r="M166" s="2"/>
      <c r="N166" s="2"/>
      <c r="O166" s="2"/>
      <c r="P166" s="93"/>
      <c r="Q166" s="93"/>
      <c r="R166" s="93"/>
      <c r="S166" s="77"/>
      <c r="T166" s="77"/>
      <c r="U166" s="77"/>
      <c r="V166" s="77"/>
      <c r="W166" s="77"/>
      <c r="X166" s="182"/>
      <c r="Y166" s="182"/>
      <c r="Z166" s="182"/>
      <c r="AA166" s="61"/>
      <c r="AB166" s="61"/>
      <c r="AC166" s="61"/>
      <c r="AD166" s="61"/>
      <c r="AE166" s="61"/>
      <c r="AF166" s="93"/>
      <c r="AG166" s="93"/>
      <c r="AH166" s="93"/>
      <c r="AI166" s="155"/>
      <c r="AJ166" s="155"/>
      <c r="AK166" s="182"/>
      <c r="AL166" s="191"/>
      <c r="AM166" s="182"/>
      <c r="AN166" s="165"/>
      <c r="AO166" s="165"/>
      <c r="AP166" s="165"/>
      <c r="AQ166" s="182"/>
      <c r="AR166" s="182"/>
      <c r="AS166" s="182"/>
      <c r="AT166" s="61"/>
      <c r="AU166" s="61"/>
      <c r="AV166" s="61"/>
      <c r="AW166" s="201"/>
      <c r="AX166" s="201"/>
      <c r="AY166" s="216"/>
      <c r="AZ166" s="216"/>
      <c r="BA166" s="216"/>
      <c r="BB166" s="216"/>
      <c r="BC166" s="2"/>
      <c r="BD166" s="2"/>
      <c r="BE166" s="2"/>
      <c r="BF166" s="2"/>
      <c r="BG166" s="2"/>
      <c r="BH166" s="2"/>
      <c r="BI166" s="2"/>
      <c r="BJ166" s="2"/>
      <c r="BK166" s="2"/>
      <c r="BL166" s="2"/>
      <c r="BM166" s="2"/>
      <c r="CI166" s="111"/>
      <c r="CJ166" s="111"/>
      <c r="CK166" s="111"/>
    </row>
    <row r="167" spans="4:89" s="28" customFormat="1" x14ac:dyDescent="0.35">
      <c r="D167" s="2"/>
      <c r="E167" s="2"/>
      <c r="F167" s="2"/>
      <c r="G167" s="2"/>
      <c r="H167" s="2"/>
      <c r="I167" s="2"/>
      <c r="J167" s="2"/>
      <c r="K167" s="2"/>
      <c r="L167" s="2"/>
      <c r="M167" s="2"/>
      <c r="N167" s="2"/>
      <c r="O167" s="2"/>
      <c r="P167" s="93"/>
      <c r="Q167" s="93"/>
      <c r="R167" s="93"/>
      <c r="S167" s="77"/>
      <c r="T167" s="77"/>
      <c r="U167" s="77"/>
      <c r="V167" s="77"/>
      <c r="W167" s="77"/>
      <c r="X167" s="182"/>
      <c r="Y167" s="182"/>
      <c r="Z167" s="182"/>
      <c r="AA167" s="61"/>
      <c r="AB167" s="61"/>
      <c r="AC167" s="61"/>
      <c r="AD167" s="61"/>
      <c r="AE167" s="61"/>
      <c r="AF167" s="93"/>
      <c r="AG167" s="93"/>
      <c r="AH167" s="93"/>
      <c r="AI167" s="155"/>
      <c r="AJ167" s="155"/>
      <c r="AK167" s="182"/>
      <c r="AL167" s="191"/>
      <c r="AM167" s="182"/>
      <c r="AN167" s="165"/>
      <c r="AO167" s="165"/>
      <c r="AP167" s="165"/>
      <c r="AQ167" s="182"/>
      <c r="AR167" s="182"/>
      <c r="AS167" s="182"/>
      <c r="AT167" s="61"/>
      <c r="AU167" s="61"/>
      <c r="AV167" s="61"/>
      <c r="AW167" s="201"/>
      <c r="AX167" s="201"/>
      <c r="AY167" s="216"/>
      <c r="AZ167" s="216"/>
      <c r="BA167" s="216"/>
      <c r="BB167" s="216"/>
      <c r="BC167" s="2"/>
      <c r="BD167" s="2"/>
      <c r="BE167" s="2"/>
      <c r="BF167" s="2"/>
      <c r="BG167" s="2"/>
      <c r="BH167" s="2"/>
      <c r="BI167" s="2"/>
      <c r="BJ167" s="2"/>
      <c r="BK167" s="2"/>
      <c r="BL167" s="2"/>
      <c r="BM167" s="2"/>
      <c r="CI167" s="111"/>
      <c r="CJ167" s="111"/>
      <c r="CK167" s="111"/>
    </row>
    <row r="168" spans="4:89" s="28" customFormat="1" x14ac:dyDescent="0.35">
      <c r="D168" s="2"/>
      <c r="E168" s="2"/>
      <c r="F168" s="2"/>
      <c r="G168" s="2"/>
      <c r="H168" s="2"/>
      <c r="I168" s="2"/>
      <c r="J168" s="2"/>
      <c r="K168" s="2"/>
      <c r="L168" s="2"/>
      <c r="M168" s="2"/>
      <c r="N168" s="2"/>
      <c r="O168" s="2"/>
      <c r="P168" s="93"/>
      <c r="Q168" s="93"/>
      <c r="R168" s="93"/>
      <c r="S168" s="77"/>
      <c r="T168" s="77"/>
      <c r="U168" s="77"/>
      <c r="V168" s="77"/>
      <c r="W168" s="77"/>
      <c r="X168" s="182"/>
      <c r="Y168" s="182"/>
      <c r="Z168" s="182"/>
      <c r="AA168" s="61"/>
      <c r="AB168" s="61"/>
      <c r="AC168" s="61"/>
      <c r="AD168" s="61"/>
      <c r="AE168" s="61"/>
      <c r="AF168" s="93"/>
      <c r="AG168" s="93"/>
      <c r="AH168" s="93"/>
      <c r="AI168" s="155"/>
      <c r="AJ168" s="155"/>
      <c r="AK168" s="182"/>
      <c r="AL168" s="191"/>
      <c r="AM168" s="182"/>
      <c r="AN168" s="165"/>
      <c r="AO168" s="165"/>
      <c r="AP168" s="165"/>
      <c r="AQ168" s="182"/>
      <c r="AR168" s="182"/>
      <c r="AS168" s="182"/>
      <c r="AT168" s="61"/>
      <c r="AU168" s="61"/>
      <c r="AV168" s="61"/>
      <c r="AW168" s="201"/>
      <c r="AX168" s="201"/>
      <c r="AY168" s="216"/>
      <c r="AZ168" s="216"/>
      <c r="BA168" s="216"/>
      <c r="BB168" s="216"/>
      <c r="BC168" s="2"/>
      <c r="BD168" s="2"/>
      <c r="BE168" s="2"/>
      <c r="BF168" s="2"/>
      <c r="BG168" s="2"/>
      <c r="BH168" s="2"/>
      <c r="BI168" s="2"/>
      <c r="BJ168" s="2"/>
      <c r="BK168" s="2"/>
      <c r="BL168" s="2"/>
      <c r="BM168" s="2"/>
      <c r="CI168" s="111"/>
      <c r="CJ168" s="111"/>
      <c r="CK168" s="111"/>
    </row>
    <row r="169" spans="4:89" s="28" customFormat="1" x14ac:dyDescent="0.35">
      <c r="D169" s="2"/>
      <c r="E169" s="2"/>
      <c r="F169" s="2"/>
      <c r="G169" s="2"/>
      <c r="H169" s="2"/>
      <c r="I169" s="2"/>
      <c r="J169" s="2"/>
      <c r="K169" s="2"/>
      <c r="L169" s="2"/>
      <c r="M169" s="2"/>
      <c r="N169" s="2"/>
      <c r="O169" s="2"/>
      <c r="P169" s="93"/>
      <c r="Q169" s="93"/>
      <c r="R169" s="93"/>
      <c r="S169" s="77"/>
      <c r="T169" s="77"/>
      <c r="U169" s="77"/>
      <c r="V169" s="77"/>
      <c r="W169" s="77"/>
      <c r="X169" s="182"/>
      <c r="Y169" s="182"/>
      <c r="Z169" s="182"/>
      <c r="AA169" s="61"/>
      <c r="AB169" s="61"/>
      <c r="AC169" s="61"/>
      <c r="AD169" s="61"/>
      <c r="AE169" s="61"/>
      <c r="AF169" s="93"/>
      <c r="AG169" s="93"/>
      <c r="AH169" s="93"/>
      <c r="AI169" s="155"/>
      <c r="AJ169" s="155"/>
      <c r="AK169" s="182"/>
      <c r="AL169" s="191"/>
      <c r="AM169" s="182"/>
      <c r="AN169" s="165"/>
      <c r="AO169" s="165"/>
      <c r="AP169" s="165"/>
      <c r="AQ169" s="182"/>
      <c r="AR169" s="182"/>
      <c r="AS169" s="182"/>
      <c r="AT169" s="61"/>
      <c r="AU169" s="61"/>
      <c r="AV169" s="61"/>
      <c r="AW169" s="201"/>
      <c r="AX169" s="201"/>
      <c r="AY169" s="216"/>
      <c r="AZ169" s="216"/>
      <c r="BA169" s="216"/>
      <c r="BB169" s="216"/>
      <c r="BC169" s="2"/>
      <c r="BD169" s="2"/>
      <c r="BE169" s="2"/>
      <c r="BF169" s="2"/>
      <c r="BG169" s="2"/>
      <c r="BH169" s="2"/>
      <c r="BI169" s="2"/>
      <c r="BJ169" s="2"/>
      <c r="BK169" s="2"/>
      <c r="BL169" s="2"/>
      <c r="BM169" s="2"/>
      <c r="CI169" s="111"/>
      <c r="CJ169" s="111"/>
      <c r="CK169" s="111"/>
    </row>
    <row r="170" spans="4:89" s="28" customFormat="1" x14ac:dyDescent="0.35">
      <c r="D170" s="2"/>
      <c r="E170" s="2"/>
      <c r="F170" s="2"/>
      <c r="G170" s="2"/>
      <c r="H170" s="2"/>
      <c r="I170" s="2"/>
      <c r="J170" s="2"/>
      <c r="K170" s="2"/>
      <c r="L170" s="2"/>
      <c r="M170" s="2"/>
      <c r="N170" s="2"/>
      <c r="O170" s="2"/>
      <c r="P170" s="93"/>
      <c r="Q170" s="93"/>
      <c r="R170" s="93"/>
      <c r="S170" s="77"/>
      <c r="T170" s="77"/>
      <c r="U170" s="77"/>
      <c r="V170" s="77"/>
      <c r="W170" s="77"/>
      <c r="X170" s="182"/>
      <c r="Y170" s="182"/>
      <c r="Z170" s="182"/>
      <c r="AA170" s="61"/>
      <c r="AB170" s="61"/>
      <c r="AC170" s="61"/>
      <c r="AD170" s="61"/>
      <c r="AE170" s="61"/>
      <c r="AF170" s="93"/>
      <c r="AG170" s="93"/>
      <c r="AH170" s="93"/>
      <c r="AI170" s="155"/>
      <c r="AJ170" s="155"/>
      <c r="AK170" s="182"/>
      <c r="AL170" s="191"/>
      <c r="AM170" s="182"/>
      <c r="AN170" s="165"/>
      <c r="AO170" s="165"/>
      <c r="AP170" s="165"/>
      <c r="AQ170" s="182"/>
      <c r="AR170" s="182"/>
      <c r="AS170" s="182"/>
      <c r="AT170" s="61"/>
      <c r="AU170" s="61"/>
      <c r="AV170" s="61"/>
      <c r="AW170" s="201"/>
      <c r="AX170" s="201"/>
      <c r="AY170" s="216"/>
      <c r="AZ170" s="216"/>
      <c r="BA170" s="216"/>
      <c r="BB170" s="216"/>
      <c r="BC170" s="2"/>
      <c r="BD170" s="2"/>
      <c r="BE170" s="2"/>
      <c r="BF170" s="2"/>
      <c r="BG170" s="2"/>
      <c r="BH170" s="2"/>
      <c r="BI170" s="2"/>
      <c r="BJ170" s="2"/>
      <c r="BK170" s="2"/>
      <c r="BL170" s="2"/>
      <c r="BM170" s="2"/>
      <c r="CI170" s="111"/>
      <c r="CJ170" s="111"/>
      <c r="CK170" s="111"/>
    </row>
    <row r="171" spans="4:89" s="28" customFormat="1" x14ac:dyDescent="0.35">
      <c r="D171" s="2"/>
      <c r="E171" s="2"/>
      <c r="F171" s="2"/>
      <c r="G171" s="2"/>
      <c r="H171" s="2"/>
      <c r="I171" s="2"/>
      <c r="J171" s="2"/>
      <c r="K171" s="2"/>
      <c r="L171" s="2"/>
      <c r="M171" s="2"/>
      <c r="N171" s="2"/>
      <c r="O171" s="2"/>
      <c r="P171" s="93"/>
      <c r="Q171" s="93"/>
      <c r="R171" s="93"/>
      <c r="S171" s="77"/>
      <c r="T171" s="77"/>
      <c r="U171" s="77"/>
      <c r="V171" s="77"/>
      <c r="W171" s="77"/>
      <c r="X171" s="182"/>
      <c r="Y171" s="182"/>
      <c r="Z171" s="182"/>
      <c r="AA171" s="61"/>
      <c r="AB171" s="61"/>
      <c r="AC171" s="61"/>
      <c r="AD171" s="61"/>
      <c r="AE171" s="61"/>
      <c r="AF171" s="93"/>
      <c r="AG171" s="93"/>
      <c r="AH171" s="93"/>
      <c r="AI171" s="155"/>
      <c r="AJ171" s="155"/>
      <c r="AK171" s="182"/>
      <c r="AL171" s="191"/>
      <c r="AM171" s="182"/>
      <c r="AN171" s="165"/>
      <c r="AO171" s="165"/>
      <c r="AP171" s="165"/>
      <c r="AQ171" s="182"/>
      <c r="AR171" s="182"/>
      <c r="AS171" s="182"/>
      <c r="AT171" s="61"/>
      <c r="AU171" s="61"/>
      <c r="AV171" s="61"/>
      <c r="AW171" s="201"/>
      <c r="AX171" s="201"/>
      <c r="AY171" s="216"/>
      <c r="AZ171" s="216"/>
      <c r="BA171" s="216"/>
      <c r="BB171" s="216"/>
      <c r="BC171" s="2"/>
      <c r="BD171" s="2"/>
      <c r="BE171" s="2"/>
      <c r="BF171" s="2"/>
      <c r="BG171" s="2"/>
      <c r="BH171" s="2"/>
      <c r="BI171" s="2"/>
      <c r="BJ171" s="2"/>
      <c r="BK171" s="2"/>
      <c r="BL171" s="2"/>
      <c r="BM171" s="2"/>
      <c r="CI171" s="111"/>
      <c r="CJ171" s="111"/>
      <c r="CK171" s="111"/>
    </row>
    <row r="172" spans="4:89" s="28" customFormat="1" x14ac:dyDescent="0.35">
      <c r="D172" s="2"/>
      <c r="E172" s="2"/>
      <c r="F172" s="2"/>
      <c r="G172" s="2"/>
      <c r="H172" s="2"/>
      <c r="I172" s="2"/>
      <c r="J172" s="2"/>
      <c r="K172" s="2"/>
      <c r="L172" s="2"/>
      <c r="M172" s="2"/>
      <c r="N172" s="2"/>
      <c r="O172" s="2"/>
      <c r="P172" s="93"/>
      <c r="Q172" s="93"/>
      <c r="R172" s="93"/>
      <c r="S172" s="77"/>
      <c r="T172" s="77"/>
      <c r="U172" s="77"/>
      <c r="V172" s="77"/>
      <c r="W172" s="77"/>
      <c r="X172" s="182"/>
      <c r="Y172" s="182"/>
      <c r="Z172" s="182"/>
      <c r="AA172" s="61"/>
      <c r="AB172" s="61"/>
      <c r="AC172" s="61"/>
      <c r="AD172" s="61"/>
      <c r="AE172" s="61"/>
      <c r="AF172" s="93"/>
      <c r="AG172" s="93"/>
      <c r="AH172" s="93"/>
      <c r="AI172" s="155"/>
      <c r="AJ172" s="155"/>
      <c r="AK172" s="182"/>
      <c r="AL172" s="191"/>
      <c r="AM172" s="182"/>
      <c r="AN172" s="165"/>
      <c r="AO172" s="165"/>
      <c r="AP172" s="165"/>
      <c r="AQ172" s="182"/>
      <c r="AR172" s="182"/>
      <c r="AS172" s="182"/>
      <c r="AT172" s="61"/>
      <c r="AU172" s="61"/>
      <c r="AV172" s="61"/>
      <c r="AW172" s="201"/>
      <c r="AX172" s="201"/>
      <c r="AY172" s="216"/>
      <c r="AZ172" s="216"/>
      <c r="BA172" s="216"/>
      <c r="BB172" s="216"/>
      <c r="BC172" s="2"/>
      <c r="BD172" s="2"/>
      <c r="BE172" s="2"/>
      <c r="BF172" s="2"/>
      <c r="BG172" s="2"/>
      <c r="BH172" s="2"/>
      <c r="BI172" s="2"/>
      <c r="BJ172" s="2"/>
      <c r="BK172" s="2"/>
      <c r="BL172" s="2"/>
      <c r="BM172" s="2"/>
      <c r="CI172" s="111"/>
      <c r="CJ172" s="111"/>
      <c r="CK172" s="111"/>
    </row>
    <row r="173" spans="4:89" s="28" customFormat="1" x14ac:dyDescent="0.35">
      <c r="D173" s="2"/>
      <c r="E173" s="2"/>
      <c r="F173" s="2"/>
      <c r="G173" s="2"/>
      <c r="H173" s="2"/>
      <c r="I173" s="2"/>
      <c r="J173" s="2"/>
      <c r="K173" s="2"/>
      <c r="L173" s="2"/>
      <c r="M173" s="2"/>
      <c r="N173" s="2"/>
      <c r="O173" s="2"/>
      <c r="P173" s="93"/>
      <c r="Q173" s="93"/>
      <c r="R173" s="93"/>
      <c r="S173" s="77"/>
      <c r="T173" s="77"/>
      <c r="U173" s="77"/>
      <c r="V173" s="77"/>
      <c r="W173" s="77"/>
      <c r="X173" s="182"/>
      <c r="Y173" s="182"/>
      <c r="Z173" s="182"/>
      <c r="AA173" s="61"/>
      <c r="AB173" s="61"/>
      <c r="AC173" s="61"/>
      <c r="AD173" s="61"/>
      <c r="AE173" s="61"/>
      <c r="AF173" s="93"/>
      <c r="AG173" s="93"/>
      <c r="AH173" s="93"/>
      <c r="AI173" s="155"/>
      <c r="AJ173" s="155"/>
      <c r="AK173" s="182"/>
      <c r="AL173" s="191"/>
      <c r="AM173" s="182"/>
      <c r="AN173" s="165"/>
      <c r="AO173" s="165"/>
      <c r="AP173" s="165"/>
      <c r="AQ173" s="182"/>
      <c r="AR173" s="182"/>
      <c r="AS173" s="182"/>
      <c r="AT173" s="61"/>
      <c r="AU173" s="61"/>
      <c r="AV173" s="61"/>
      <c r="AW173" s="201"/>
      <c r="AX173" s="201"/>
      <c r="AY173" s="216"/>
      <c r="AZ173" s="216"/>
      <c r="BA173" s="216"/>
      <c r="BB173" s="216"/>
      <c r="BC173" s="2"/>
      <c r="BD173" s="2"/>
      <c r="BE173" s="2"/>
      <c r="BF173" s="2"/>
      <c r="BG173" s="2"/>
      <c r="BH173" s="2"/>
      <c r="BI173" s="2"/>
      <c r="BJ173" s="2"/>
      <c r="BK173" s="2"/>
      <c r="BL173" s="2"/>
      <c r="BM173" s="2"/>
      <c r="CI173" s="111"/>
      <c r="CJ173" s="111"/>
      <c r="CK173" s="111"/>
    </row>
    <row r="174" spans="4:89" s="28" customFormat="1" x14ac:dyDescent="0.35">
      <c r="D174" s="2"/>
      <c r="E174" s="2"/>
      <c r="F174" s="2"/>
      <c r="G174" s="2"/>
      <c r="H174" s="2"/>
      <c r="I174" s="2"/>
      <c r="J174" s="2"/>
      <c r="K174" s="2"/>
      <c r="L174" s="2"/>
      <c r="M174" s="2"/>
      <c r="N174" s="2"/>
      <c r="O174" s="2"/>
      <c r="P174" s="93"/>
      <c r="Q174" s="93"/>
      <c r="R174" s="93"/>
      <c r="S174" s="77"/>
      <c r="T174" s="77"/>
      <c r="U174" s="77"/>
      <c r="V174" s="77"/>
      <c r="W174" s="77"/>
      <c r="X174" s="182"/>
      <c r="Y174" s="182"/>
      <c r="Z174" s="182"/>
      <c r="AA174" s="61"/>
      <c r="AB174" s="61"/>
      <c r="AC174" s="61"/>
      <c r="AD174" s="61"/>
      <c r="AE174" s="61"/>
      <c r="AF174" s="93"/>
      <c r="AG174" s="93"/>
      <c r="AH174" s="93"/>
      <c r="AI174" s="155"/>
      <c r="AJ174" s="155"/>
      <c r="AK174" s="182"/>
      <c r="AL174" s="191"/>
      <c r="AM174" s="182"/>
      <c r="AN174" s="165"/>
      <c r="AO174" s="165"/>
      <c r="AP174" s="165"/>
      <c r="AQ174" s="182"/>
      <c r="AR174" s="182"/>
      <c r="AS174" s="182"/>
      <c r="AT174" s="61"/>
      <c r="AU174" s="61"/>
      <c r="AV174" s="61"/>
      <c r="AW174" s="201"/>
      <c r="AX174" s="201"/>
      <c r="AY174" s="216"/>
      <c r="AZ174" s="216"/>
      <c r="BA174" s="216"/>
      <c r="BB174" s="216"/>
      <c r="BC174" s="2"/>
      <c r="BD174" s="2"/>
      <c r="BE174" s="2"/>
      <c r="BF174" s="2"/>
      <c r="BG174" s="2"/>
      <c r="BH174" s="2"/>
      <c r="BI174" s="2"/>
      <c r="BJ174" s="2"/>
      <c r="BK174" s="2"/>
      <c r="BL174" s="2"/>
      <c r="BM174" s="2"/>
      <c r="CI174" s="111"/>
      <c r="CJ174" s="111"/>
      <c r="CK174" s="111"/>
    </row>
    <row r="175" spans="4:89" s="28" customFormat="1" x14ac:dyDescent="0.35">
      <c r="D175" s="2"/>
      <c r="E175" s="2"/>
      <c r="F175" s="2"/>
      <c r="G175" s="2"/>
      <c r="H175" s="2"/>
      <c r="I175" s="2"/>
      <c r="J175" s="2"/>
      <c r="K175" s="2"/>
      <c r="L175" s="2"/>
      <c r="M175" s="2"/>
      <c r="N175" s="2"/>
      <c r="O175" s="2"/>
      <c r="P175" s="93"/>
      <c r="Q175" s="93"/>
      <c r="R175" s="93"/>
      <c r="S175" s="77"/>
      <c r="T175" s="77"/>
      <c r="U175" s="77"/>
      <c r="V175" s="77"/>
      <c r="W175" s="77"/>
      <c r="X175" s="182"/>
      <c r="Y175" s="182"/>
      <c r="Z175" s="182"/>
      <c r="AA175" s="61"/>
      <c r="AB175" s="61"/>
      <c r="AC175" s="61"/>
      <c r="AD175" s="61"/>
      <c r="AE175" s="61"/>
      <c r="AF175" s="93"/>
      <c r="AG175" s="93"/>
      <c r="AH175" s="93"/>
      <c r="AI175" s="155"/>
      <c r="AJ175" s="155"/>
      <c r="AK175" s="182"/>
      <c r="AL175" s="191"/>
      <c r="AM175" s="182"/>
      <c r="AN175" s="165"/>
      <c r="AO175" s="165"/>
      <c r="AP175" s="165"/>
      <c r="AQ175" s="182"/>
      <c r="AR175" s="182"/>
      <c r="AS175" s="182"/>
      <c r="AT175" s="61"/>
      <c r="AU175" s="61"/>
      <c r="AV175" s="61"/>
      <c r="AW175" s="201"/>
      <c r="AX175" s="201"/>
      <c r="AY175" s="216"/>
      <c r="AZ175" s="216"/>
      <c r="BA175" s="216"/>
      <c r="BB175" s="216"/>
      <c r="BC175" s="2"/>
      <c r="BD175" s="2"/>
      <c r="BE175" s="2"/>
      <c r="BF175" s="2"/>
      <c r="BG175" s="2"/>
      <c r="BH175" s="2"/>
      <c r="BI175" s="2"/>
      <c r="BJ175" s="2"/>
      <c r="BK175" s="2"/>
      <c r="BL175" s="2"/>
      <c r="BM175" s="2"/>
      <c r="CI175" s="111"/>
      <c r="CJ175" s="111"/>
      <c r="CK175" s="111"/>
    </row>
    <row r="176" spans="4:89" s="28" customFormat="1" x14ac:dyDescent="0.35">
      <c r="D176" s="2"/>
      <c r="E176" s="2"/>
      <c r="F176" s="2"/>
      <c r="G176" s="2"/>
      <c r="H176" s="2"/>
      <c r="I176" s="2"/>
      <c r="J176" s="2"/>
      <c r="K176" s="2"/>
      <c r="L176" s="2"/>
      <c r="M176" s="2"/>
      <c r="N176" s="2"/>
      <c r="O176" s="2"/>
      <c r="P176" s="93"/>
      <c r="Q176" s="93"/>
      <c r="R176" s="93"/>
      <c r="S176" s="77"/>
      <c r="T176" s="77"/>
      <c r="U176" s="77"/>
      <c r="V176" s="77"/>
      <c r="W176" s="77"/>
      <c r="X176" s="182"/>
      <c r="Y176" s="182"/>
      <c r="Z176" s="182"/>
      <c r="AA176" s="61"/>
      <c r="AB176" s="61"/>
      <c r="AC176" s="61"/>
      <c r="AD176" s="61"/>
      <c r="AE176" s="61"/>
      <c r="AF176" s="93"/>
      <c r="AG176" s="93"/>
      <c r="AH176" s="93"/>
      <c r="AI176" s="155"/>
      <c r="AJ176" s="155"/>
      <c r="AK176" s="182"/>
      <c r="AL176" s="191"/>
      <c r="AM176" s="182"/>
      <c r="AN176" s="165"/>
      <c r="AO176" s="165"/>
      <c r="AP176" s="165"/>
      <c r="AQ176" s="182"/>
      <c r="AR176" s="182"/>
      <c r="AS176" s="182"/>
      <c r="AT176" s="61"/>
      <c r="AU176" s="61"/>
      <c r="AV176" s="61"/>
      <c r="AW176" s="201"/>
      <c r="AX176" s="201"/>
      <c r="AY176" s="216"/>
      <c r="AZ176" s="216"/>
      <c r="BA176" s="216"/>
      <c r="BB176" s="216"/>
      <c r="BC176" s="2"/>
      <c r="BD176" s="2"/>
      <c r="BE176" s="2"/>
      <c r="BF176" s="2"/>
      <c r="BG176" s="2"/>
      <c r="BH176" s="2"/>
      <c r="BI176" s="2"/>
      <c r="BJ176" s="2"/>
      <c r="BK176" s="2"/>
      <c r="BL176" s="2"/>
      <c r="BM176" s="2"/>
      <c r="CI176" s="111"/>
      <c r="CJ176" s="111"/>
      <c r="CK176" s="111"/>
    </row>
    <row r="177" spans="4:89" s="28" customFormat="1" x14ac:dyDescent="0.35">
      <c r="D177" s="2"/>
      <c r="E177" s="2"/>
      <c r="F177" s="2"/>
      <c r="G177" s="2"/>
      <c r="H177" s="2"/>
      <c r="I177" s="2"/>
      <c r="J177" s="2"/>
      <c r="K177" s="2"/>
      <c r="L177" s="2"/>
      <c r="M177" s="2"/>
      <c r="N177" s="2"/>
      <c r="O177" s="2"/>
      <c r="P177" s="93"/>
      <c r="Q177" s="93"/>
      <c r="R177" s="93"/>
      <c r="S177" s="77"/>
      <c r="T177" s="77"/>
      <c r="U177" s="77"/>
      <c r="V177" s="77"/>
      <c r="W177" s="77"/>
      <c r="X177" s="182"/>
      <c r="Y177" s="182"/>
      <c r="Z177" s="182"/>
      <c r="AA177" s="61"/>
      <c r="AB177" s="61"/>
      <c r="AC177" s="61"/>
      <c r="AD177" s="61"/>
      <c r="AE177" s="61"/>
      <c r="AF177" s="93"/>
      <c r="AG177" s="93"/>
      <c r="AH177" s="93"/>
      <c r="AI177" s="155"/>
      <c r="AJ177" s="155"/>
      <c r="AK177" s="182"/>
      <c r="AL177" s="191"/>
      <c r="AM177" s="182"/>
      <c r="AN177" s="165"/>
      <c r="AO177" s="165"/>
      <c r="AP177" s="165"/>
      <c r="AQ177" s="182"/>
      <c r="AR177" s="182"/>
      <c r="AS177" s="182"/>
      <c r="AT177" s="61"/>
      <c r="AU177" s="61"/>
      <c r="AV177" s="61"/>
      <c r="AW177" s="201"/>
      <c r="AX177" s="201"/>
      <c r="AY177" s="216"/>
      <c r="AZ177" s="216"/>
      <c r="BA177" s="216"/>
      <c r="BB177" s="216"/>
      <c r="BC177" s="2"/>
      <c r="BD177" s="2"/>
      <c r="BE177" s="2"/>
      <c r="BF177" s="2"/>
      <c r="BG177" s="2"/>
      <c r="BH177" s="2"/>
      <c r="BI177" s="2"/>
      <c r="BJ177" s="2"/>
      <c r="BK177" s="2"/>
      <c r="BL177" s="2"/>
      <c r="BM177" s="2"/>
      <c r="CI177" s="111"/>
      <c r="CJ177" s="111"/>
      <c r="CK177" s="111"/>
    </row>
    <row r="178" spans="4:89" s="28" customFormat="1" x14ac:dyDescent="0.35">
      <c r="D178" s="2"/>
      <c r="E178" s="2"/>
      <c r="F178" s="2"/>
      <c r="G178" s="2"/>
      <c r="H178" s="2"/>
      <c r="I178" s="2"/>
      <c r="J178" s="2"/>
      <c r="K178" s="2"/>
      <c r="L178" s="2"/>
      <c r="M178" s="2"/>
      <c r="N178" s="2"/>
      <c r="O178" s="2"/>
      <c r="P178" s="93"/>
      <c r="Q178" s="93"/>
      <c r="R178" s="93"/>
      <c r="S178" s="77"/>
      <c r="T178" s="77"/>
      <c r="U178" s="77"/>
      <c r="V178" s="77"/>
      <c r="W178" s="77"/>
      <c r="X178" s="182"/>
      <c r="Y178" s="182"/>
      <c r="Z178" s="182"/>
      <c r="AA178" s="61"/>
      <c r="AB178" s="61"/>
      <c r="AC178" s="61"/>
      <c r="AD178" s="61"/>
      <c r="AE178" s="61"/>
      <c r="AF178" s="93"/>
      <c r="AG178" s="93"/>
      <c r="AH178" s="93"/>
      <c r="AI178" s="155"/>
      <c r="AJ178" s="155"/>
      <c r="AK178" s="182"/>
      <c r="AL178" s="191"/>
      <c r="AM178" s="182"/>
      <c r="AN178" s="165"/>
      <c r="AO178" s="165"/>
      <c r="AP178" s="165"/>
      <c r="AQ178" s="182"/>
      <c r="AR178" s="182"/>
      <c r="AS178" s="182"/>
      <c r="AT178" s="61"/>
      <c r="AU178" s="61"/>
      <c r="AV178" s="61"/>
      <c r="AW178" s="201"/>
      <c r="AX178" s="201"/>
      <c r="AY178" s="216"/>
      <c r="AZ178" s="216"/>
      <c r="BA178" s="216"/>
      <c r="BB178" s="216"/>
      <c r="BC178" s="2"/>
      <c r="BD178" s="2"/>
      <c r="BE178" s="2"/>
      <c r="BF178" s="2"/>
      <c r="BG178" s="2"/>
      <c r="BH178" s="2"/>
      <c r="BI178" s="2"/>
      <c r="BJ178" s="2"/>
      <c r="BK178" s="2"/>
      <c r="BL178" s="2"/>
      <c r="BM178" s="2"/>
      <c r="CI178" s="111"/>
      <c r="CJ178" s="111"/>
      <c r="CK178" s="111"/>
    </row>
    <row r="179" spans="4:89" s="28" customFormat="1" x14ac:dyDescent="0.35">
      <c r="D179" s="2"/>
      <c r="E179" s="2"/>
      <c r="F179" s="2"/>
      <c r="G179" s="2"/>
      <c r="H179" s="2"/>
      <c r="I179" s="2"/>
      <c r="J179" s="2"/>
      <c r="K179" s="2"/>
      <c r="L179" s="2"/>
      <c r="M179" s="2"/>
      <c r="N179" s="2"/>
      <c r="O179" s="2"/>
      <c r="P179" s="93"/>
      <c r="Q179" s="93"/>
      <c r="R179" s="93"/>
      <c r="S179" s="77"/>
      <c r="T179" s="77"/>
      <c r="U179" s="77"/>
      <c r="V179" s="77"/>
      <c r="W179" s="77"/>
      <c r="X179" s="182"/>
      <c r="Y179" s="182"/>
      <c r="Z179" s="182"/>
      <c r="AA179" s="61"/>
      <c r="AB179" s="61"/>
      <c r="AC179" s="61"/>
      <c r="AD179" s="61"/>
      <c r="AE179" s="61"/>
      <c r="AF179" s="93"/>
      <c r="AG179" s="93"/>
      <c r="AH179" s="93"/>
      <c r="AI179" s="155"/>
      <c r="AJ179" s="155"/>
      <c r="AK179" s="182"/>
      <c r="AL179" s="191"/>
      <c r="AM179" s="182"/>
      <c r="AN179" s="165"/>
      <c r="AO179" s="165"/>
      <c r="AP179" s="165"/>
      <c r="AQ179" s="182"/>
      <c r="AR179" s="182"/>
      <c r="AS179" s="182"/>
      <c r="AT179" s="61"/>
      <c r="AU179" s="61"/>
      <c r="AV179" s="61"/>
      <c r="AW179" s="201"/>
      <c r="AX179" s="201"/>
      <c r="AY179" s="216"/>
      <c r="AZ179" s="216"/>
      <c r="BA179" s="216"/>
      <c r="BB179" s="216"/>
      <c r="BC179" s="2"/>
      <c r="BD179" s="2"/>
      <c r="BE179" s="2"/>
      <c r="BF179" s="2"/>
      <c r="BG179" s="2"/>
      <c r="BH179" s="2"/>
      <c r="BI179" s="2"/>
      <c r="BJ179" s="2"/>
      <c r="BK179" s="2"/>
      <c r="BL179" s="2"/>
      <c r="BM179" s="2"/>
      <c r="CI179" s="111"/>
      <c r="CJ179" s="111"/>
      <c r="CK179" s="111"/>
    </row>
    <row r="180" spans="4:89" s="28" customFormat="1" x14ac:dyDescent="0.35">
      <c r="D180" s="2"/>
      <c r="E180" s="2"/>
      <c r="F180" s="2"/>
      <c r="G180" s="2"/>
      <c r="H180" s="2"/>
      <c r="I180" s="2"/>
      <c r="J180" s="2"/>
      <c r="K180" s="2"/>
      <c r="L180" s="2"/>
      <c r="M180" s="2"/>
      <c r="N180" s="2"/>
      <c r="O180" s="2"/>
      <c r="P180" s="93"/>
      <c r="Q180" s="93"/>
      <c r="R180" s="93"/>
      <c r="S180" s="77"/>
      <c r="T180" s="77"/>
      <c r="U180" s="77"/>
      <c r="V180" s="77"/>
      <c r="W180" s="77"/>
      <c r="X180" s="182"/>
      <c r="Y180" s="182"/>
      <c r="Z180" s="182"/>
      <c r="AA180" s="61"/>
      <c r="AB180" s="61"/>
      <c r="AC180" s="61"/>
      <c r="AD180" s="61"/>
      <c r="AE180" s="61"/>
      <c r="AF180" s="93"/>
      <c r="AG180" s="93"/>
      <c r="AH180" s="93"/>
      <c r="AI180" s="155"/>
      <c r="AJ180" s="155"/>
      <c r="AK180" s="182"/>
      <c r="AL180" s="191"/>
      <c r="AM180" s="182"/>
      <c r="AN180" s="165"/>
      <c r="AO180" s="165"/>
      <c r="AP180" s="165"/>
      <c r="AQ180" s="182"/>
      <c r="AR180" s="182"/>
      <c r="AS180" s="182"/>
      <c r="AT180" s="61"/>
      <c r="AU180" s="61"/>
      <c r="AV180" s="61"/>
      <c r="AW180" s="201"/>
      <c r="AX180" s="201"/>
      <c r="AY180" s="216"/>
      <c r="AZ180" s="216"/>
      <c r="BA180" s="216"/>
      <c r="BB180" s="216"/>
      <c r="BC180" s="2"/>
      <c r="BD180" s="2"/>
      <c r="BE180" s="2"/>
      <c r="BF180" s="2"/>
      <c r="BG180" s="2"/>
      <c r="BH180" s="2"/>
      <c r="BI180" s="2"/>
      <c r="BJ180" s="2"/>
      <c r="BK180" s="2"/>
      <c r="BL180" s="2"/>
      <c r="BM180" s="2"/>
      <c r="CI180" s="111"/>
      <c r="CJ180" s="111"/>
      <c r="CK180" s="111"/>
    </row>
    <row r="181" spans="4:89" s="28" customFormat="1" x14ac:dyDescent="0.35">
      <c r="D181" s="2"/>
      <c r="E181" s="2"/>
      <c r="F181" s="2"/>
      <c r="G181" s="2"/>
      <c r="H181" s="2"/>
      <c r="I181" s="2"/>
      <c r="J181" s="2"/>
      <c r="K181" s="2"/>
      <c r="L181" s="2"/>
      <c r="M181" s="2"/>
      <c r="N181" s="2"/>
      <c r="O181" s="2"/>
      <c r="P181" s="93"/>
      <c r="Q181" s="93"/>
      <c r="R181" s="93"/>
      <c r="S181" s="77"/>
      <c r="T181" s="77"/>
      <c r="U181" s="77"/>
      <c r="V181" s="77"/>
      <c r="W181" s="77"/>
      <c r="X181" s="182"/>
      <c r="Y181" s="182"/>
      <c r="Z181" s="182"/>
      <c r="AA181" s="61"/>
      <c r="AB181" s="61"/>
      <c r="AC181" s="61"/>
      <c r="AD181" s="61"/>
      <c r="AE181" s="61"/>
      <c r="AF181" s="93"/>
      <c r="AG181" s="93"/>
      <c r="AH181" s="93"/>
      <c r="AI181" s="155"/>
      <c r="AJ181" s="155"/>
      <c r="AK181" s="182"/>
      <c r="AL181" s="191"/>
      <c r="AM181" s="182"/>
      <c r="AN181" s="165"/>
      <c r="AO181" s="165"/>
      <c r="AP181" s="165"/>
      <c r="AQ181" s="182"/>
      <c r="AR181" s="182"/>
      <c r="AS181" s="182"/>
      <c r="AT181" s="61"/>
      <c r="AU181" s="61"/>
      <c r="AV181" s="61"/>
      <c r="AW181" s="201"/>
      <c r="AX181" s="201"/>
      <c r="AY181" s="216"/>
      <c r="AZ181" s="216"/>
      <c r="BA181" s="216"/>
      <c r="BB181" s="216"/>
      <c r="BC181" s="2"/>
      <c r="BD181" s="2"/>
      <c r="BE181" s="2"/>
      <c r="BF181" s="2"/>
      <c r="BG181" s="2"/>
      <c r="BH181" s="2"/>
      <c r="BI181" s="2"/>
      <c r="BJ181" s="2"/>
      <c r="BK181" s="2"/>
      <c r="BL181" s="2"/>
      <c r="BM181" s="2"/>
      <c r="CI181" s="111"/>
      <c r="CJ181" s="111"/>
      <c r="CK181" s="111"/>
    </row>
    <row r="182" spans="4:89" s="28" customFormat="1" x14ac:dyDescent="0.35">
      <c r="D182" s="2"/>
      <c r="E182" s="2"/>
      <c r="F182" s="2"/>
      <c r="G182" s="2"/>
      <c r="H182" s="2"/>
      <c r="I182" s="2"/>
      <c r="J182" s="2"/>
      <c r="K182" s="2"/>
      <c r="L182" s="2"/>
      <c r="M182" s="2"/>
      <c r="N182" s="2"/>
      <c r="O182" s="2"/>
      <c r="P182" s="93"/>
      <c r="Q182" s="93"/>
      <c r="R182" s="93"/>
      <c r="S182" s="77"/>
      <c r="T182" s="77"/>
      <c r="U182" s="77"/>
      <c r="V182" s="77"/>
      <c r="W182" s="77"/>
      <c r="X182" s="182"/>
      <c r="Y182" s="182"/>
      <c r="Z182" s="182"/>
      <c r="AA182" s="61"/>
      <c r="AB182" s="61"/>
      <c r="AC182" s="61"/>
      <c r="AD182" s="61"/>
      <c r="AE182" s="61"/>
      <c r="AF182" s="93"/>
      <c r="AG182" s="93"/>
      <c r="AH182" s="93"/>
      <c r="AI182" s="155"/>
      <c r="AJ182" s="155"/>
      <c r="AK182" s="182"/>
      <c r="AL182" s="191"/>
      <c r="AM182" s="182"/>
      <c r="AN182" s="165"/>
      <c r="AO182" s="165"/>
      <c r="AP182" s="165"/>
      <c r="AQ182" s="182"/>
      <c r="AR182" s="182"/>
      <c r="AS182" s="182"/>
      <c r="AT182" s="61"/>
      <c r="AU182" s="61"/>
      <c r="AV182" s="61"/>
      <c r="AW182" s="201"/>
      <c r="AX182" s="201"/>
      <c r="AY182" s="216"/>
      <c r="AZ182" s="216"/>
      <c r="BA182" s="216"/>
      <c r="BB182" s="216"/>
      <c r="BC182" s="2"/>
      <c r="BD182" s="2"/>
      <c r="BE182" s="2"/>
      <c r="BF182" s="2"/>
      <c r="BG182" s="2"/>
      <c r="BH182" s="2"/>
      <c r="BI182" s="2"/>
      <c r="BJ182" s="2"/>
      <c r="BK182" s="2"/>
      <c r="BL182" s="2"/>
      <c r="BM182" s="2"/>
      <c r="CI182" s="111"/>
      <c r="CJ182" s="111"/>
      <c r="CK182" s="111"/>
    </row>
    <row r="183" spans="4:89" s="28" customFormat="1" x14ac:dyDescent="0.35">
      <c r="D183" s="2"/>
      <c r="E183" s="2"/>
      <c r="F183" s="2"/>
      <c r="G183" s="2"/>
      <c r="H183" s="2"/>
      <c r="I183" s="2"/>
      <c r="J183" s="2"/>
      <c r="K183" s="2"/>
      <c r="L183" s="2"/>
      <c r="M183" s="2"/>
      <c r="N183" s="2"/>
      <c r="O183" s="2"/>
      <c r="P183" s="93"/>
      <c r="Q183" s="93"/>
      <c r="R183" s="93"/>
      <c r="S183" s="77"/>
      <c r="T183" s="77"/>
      <c r="U183" s="77"/>
      <c r="V183" s="77"/>
      <c r="W183" s="77"/>
      <c r="X183" s="182"/>
      <c r="Y183" s="182"/>
      <c r="Z183" s="182"/>
      <c r="AA183" s="61"/>
      <c r="AB183" s="61"/>
      <c r="AC183" s="61"/>
      <c r="AD183" s="61"/>
      <c r="AE183" s="61"/>
      <c r="AF183" s="93"/>
      <c r="AG183" s="93"/>
      <c r="AH183" s="93"/>
      <c r="AI183" s="155"/>
      <c r="AJ183" s="155"/>
      <c r="AK183" s="182"/>
      <c r="AL183" s="191"/>
      <c r="AM183" s="182"/>
      <c r="AN183" s="165"/>
      <c r="AO183" s="165"/>
      <c r="AP183" s="165"/>
      <c r="AQ183" s="182"/>
      <c r="AR183" s="182"/>
      <c r="AS183" s="182"/>
      <c r="AT183" s="61"/>
      <c r="AU183" s="61"/>
      <c r="AV183" s="61"/>
      <c r="AW183" s="201"/>
      <c r="AX183" s="201"/>
      <c r="AY183" s="216"/>
      <c r="AZ183" s="216"/>
      <c r="BA183" s="216"/>
      <c r="BB183" s="216"/>
      <c r="BC183" s="2"/>
      <c r="BD183" s="2"/>
      <c r="BE183" s="2"/>
      <c r="BF183" s="2"/>
      <c r="BG183" s="2"/>
      <c r="BH183" s="2"/>
      <c r="BI183" s="2"/>
      <c r="BJ183" s="2"/>
      <c r="BK183" s="2"/>
      <c r="BL183" s="2"/>
      <c r="BM183" s="2"/>
      <c r="CI183" s="111"/>
      <c r="CJ183" s="111"/>
      <c r="CK183" s="111"/>
    </row>
    <row r="184" spans="4:89" s="28" customFormat="1" x14ac:dyDescent="0.35">
      <c r="D184" s="2"/>
      <c r="E184" s="2"/>
      <c r="F184" s="2"/>
      <c r="G184" s="2"/>
      <c r="H184" s="2"/>
      <c r="I184" s="2"/>
      <c r="J184" s="2"/>
      <c r="K184" s="2"/>
      <c r="L184" s="2"/>
      <c r="M184" s="2"/>
      <c r="N184" s="2"/>
      <c r="O184" s="2"/>
      <c r="P184" s="93"/>
      <c r="Q184" s="93"/>
      <c r="R184" s="93"/>
      <c r="S184" s="77"/>
      <c r="T184" s="77"/>
      <c r="U184" s="77"/>
      <c r="V184" s="77"/>
      <c r="W184" s="77"/>
      <c r="X184" s="182"/>
      <c r="Y184" s="182"/>
      <c r="Z184" s="182"/>
      <c r="AA184" s="61"/>
      <c r="AB184" s="61"/>
      <c r="AC184" s="61"/>
      <c r="AD184" s="61"/>
      <c r="AE184" s="61"/>
      <c r="AF184" s="93"/>
      <c r="AG184" s="93"/>
      <c r="AH184" s="93"/>
      <c r="AI184" s="155"/>
      <c r="AJ184" s="155"/>
      <c r="AK184" s="182"/>
      <c r="AL184" s="191"/>
      <c r="AM184" s="182"/>
      <c r="AN184" s="165"/>
      <c r="AO184" s="165"/>
      <c r="AP184" s="165"/>
      <c r="AQ184" s="182"/>
      <c r="AR184" s="182"/>
      <c r="AS184" s="182"/>
      <c r="AT184" s="61"/>
      <c r="AU184" s="61"/>
      <c r="AV184" s="61"/>
      <c r="AW184" s="201"/>
      <c r="AX184" s="201"/>
      <c r="AY184" s="216"/>
      <c r="AZ184" s="216"/>
      <c r="BA184" s="216"/>
      <c r="BB184" s="216"/>
      <c r="BC184" s="2"/>
      <c r="BD184" s="2"/>
      <c r="BE184" s="2"/>
      <c r="BF184" s="2"/>
      <c r="BG184" s="2"/>
      <c r="BH184" s="2"/>
      <c r="BI184" s="2"/>
      <c r="BJ184" s="2"/>
      <c r="BK184" s="2"/>
      <c r="BL184" s="2"/>
      <c r="BM184" s="2"/>
      <c r="CI184" s="111"/>
      <c r="CJ184" s="111"/>
      <c r="CK184" s="111"/>
    </row>
    <row r="185" spans="4:89" s="28" customFormat="1" x14ac:dyDescent="0.35">
      <c r="D185" s="2"/>
      <c r="E185" s="2"/>
      <c r="F185" s="2"/>
      <c r="G185" s="2"/>
      <c r="H185" s="2"/>
      <c r="I185" s="2"/>
      <c r="J185" s="2"/>
      <c r="K185" s="2"/>
      <c r="L185" s="2"/>
      <c r="M185" s="2"/>
      <c r="N185" s="2"/>
      <c r="O185" s="2"/>
      <c r="P185" s="93"/>
      <c r="Q185" s="93"/>
      <c r="R185" s="93"/>
      <c r="S185" s="77"/>
      <c r="T185" s="77"/>
      <c r="U185" s="77"/>
      <c r="V185" s="77"/>
      <c r="W185" s="77"/>
      <c r="X185" s="182"/>
      <c r="Y185" s="182"/>
      <c r="Z185" s="182"/>
      <c r="AA185" s="61"/>
      <c r="AB185" s="61"/>
      <c r="AC185" s="61"/>
      <c r="AD185" s="61"/>
      <c r="AE185" s="61"/>
      <c r="AF185" s="93"/>
      <c r="AG185" s="93"/>
      <c r="AH185" s="93"/>
      <c r="AI185" s="155"/>
      <c r="AJ185" s="155"/>
      <c r="AK185" s="182"/>
      <c r="AL185" s="191"/>
      <c r="AM185" s="182"/>
      <c r="AN185" s="165"/>
      <c r="AO185" s="165"/>
      <c r="AP185" s="165"/>
      <c r="AQ185" s="182"/>
      <c r="AR185" s="182"/>
      <c r="AS185" s="182"/>
      <c r="AT185" s="61"/>
      <c r="AU185" s="61"/>
      <c r="AV185" s="61"/>
      <c r="AW185" s="201"/>
      <c r="AX185" s="201"/>
      <c r="AY185" s="216"/>
      <c r="AZ185" s="216"/>
      <c r="BA185" s="216"/>
      <c r="BB185" s="216"/>
      <c r="BC185" s="2"/>
      <c r="BD185" s="2"/>
      <c r="BE185" s="2"/>
      <c r="BF185" s="2"/>
      <c r="BG185" s="2"/>
      <c r="BH185" s="2"/>
      <c r="BI185" s="2"/>
      <c r="BJ185" s="2"/>
      <c r="BK185" s="2"/>
      <c r="BL185" s="2"/>
      <c r="BM185" s="2"/>
      <c r="CI185" s="111"/>
      <c r="CJ185" s="111"/>
      <c r="CK185" s="111"/>
    </row>
    <row r="186" spans="4:89" s="28" customFormat="1" x14ac:dyDescent="0.35">
      <c r="D186" s="2"/>
      <c r="E186" s="2"/>
      <c r="F186" s="2"/>
      <c r="G186" s="2"/>
      <c r="H186" s="2"/>
      <c r="I186" s="2"/>
      <c r="J186" s="2"/>
      <c r="K186" s="2"/>
      <c r="L186" s="2"/>
      <c r="M186" s="2"/>
      <c r="N186" s="2"/>
      <c r="O186" s="2"/>
      <c r="P186" s="93"/>
      <c r="Q186" s="93"/>
      <c r="R186" s="93"/>
      <c r="S186" s="77"/>
      <c r="T186" s="77"/>
      <c r="U186" s="77"/>
      <c r="V186" s="77"/>
      <c r="W186" s="77"/>
      <c r="X186" s="182"/>
      <c r="Y186" s="182"/>
      <c r="Z186" s="182"/>
      <c r="AA186" s="61"/>
      <c r="AB186" s="61"/>
      <c r="AC186" s="61"/>
      <c r="AD186" s="61"/>
      <c r="AE186" s="61"/>
      <c r="AF186" s="93"/>
      <c r="AG186" s="93"/>
      <c r="AH186" s="93"/>
      <c r="AI186" s="155"/>
      <c r="AJ186" s="155"/>
      <c r="AK186" s="182"/>
      <c r="AL186" s="191"/>
      <c r="AM186" s="182"/>
      <c r="AN186" s="165"/>
      <c r="AO186" s="165"/>
      <c r="AP186" s="165"/>
      <c r="AQ186" s="182"/>
      <c r="AR186" s="182"/>
      <c r="AS186" s="182"/>
      <c r="AT186" s="61"/>
      <c r="AU186" s="61"/>
      <c r="AV186" s="61"/>
      <c r="AW186" s="201"/>
      <c r="AX186" s="201"/>
      <c r="AY186" s="216"/>
      <c r="AZ186" s="216"/>
      <c r="BA186" s="216"/>
      <c r="BB186" s="216"/>
      <c r="BC186" s="2"/>
      <c r="BD186" s="2"/>
      <c r="BE186" s="2"/>
      <c r="BF186" s="2"/>
      <c r="BG186" s="2"/>
      <c r="BH186" s="2"/>
      <c r="BI186" s="2"/>
      <c r="BJ186" s="2"/>
      <c r="BK186" s="2"/>
      <c r="BL186" s="2"/>
      <c r="BM186" s="2"/>
      <c r="CI186" s="111"/>
      <c r="CJ186" s="111"/>
      <c r="CK186" s="111"/>
    </row>
    <row r="187" spans="4:89" s="28" customFormat="1" x14ac:dyDescent="0.35">
      <c r="D187" s="2"/>
      <c r="E187" s="2"/>
      <c r="F187" s="2"/>
      <c r="G187" s="2"/>
      <c r="H187" s="2"/>
      <c r="I187" s="2"/>
      <c r="J187" s="2"/>
      <c r="K187" s="2"/>
      <c r="L187" s="2"/>
      <c r="M187" s="2"/>
      <c r="N187" s="2"/>
      <c r="O187" s="2"/>
      <c r="P187" s="93"/>
      <c r="Q187" s="93"/>
      <c r="R187" s="93"/>
      <c r="S187" s="77"/>
      <c r="T187" s="77"/>
      <c r="U187" s="77"/>
      <c r="V187" s="77"/>
      <c r="W187" s="77"/>
      <c r="X187" s="182"/>
      <c r="Y187" s="182"/>
      <c r="Z187" s="182"/>
      <c r="AA187" s="61"/>
      <c r="AB187" s="61"/>
      <c r="AC187" s="61"/>
      <c r="AD187" s="61"/>
      <c r="AE187" s="61"/>
      <c r="AF187" s="93"/>
      <c r="AG187" s="93"/>
      <c r="AH187" s="93"/>
      <c r="AI187" s="155"/>
      <c r="AJ187" s="155"/>
      <c r="AK187" s="182"/>
      <c r="AL187" s="191"/>
      <c r="AM187" s="182"/>
      <c r="AN187" s="165"/>
      <c r="AO187" s="165"/>
      <c r="AP187" s="165"/>
      <c r="AQ187" s="182"/>
      <c r="AR187" s="182"/>
      <c r="AS187" s="182"/>
      <c r="AT187" s="61"/>
      <c r="AU187" s="61"/>
      <c r="AV187" s="61"/>
      <c r="AW187" s="201"/>
      <c r="AX187" s="201"/>
      <c r="AY187" s="216"/>
      <c r="AZ187" s="216"/>
      <c r="BA187" s="216"/>
      <c r="BB187" s="216"/>
      <c r="BC187" s="2"/>
      <c r="BD187" s="2"/>
      <c r="BE187" s="2"/>
      <c r="BF187" s="2"/>
      <c r="BG187" s="2"/>
      <c r="BH187" s="2"/>
      <c r="BI187" s="2"/>
      <c r="BJ187" s="2"/>
      <c r="BK187" s="2"/>
      <c r="BL187" s="2"/>
      <c r="BM187" s="2"/>
      <c r="CI187" s="103"/>
      <c r="CJ187" s="103"/>
      <c r="CK187" s="103"/>
    </row>
    <row r="188" spans="4:89" s="28" customFormat="1" x14ac:dyDescent="0.35">
      <c r="D188" s="2"/>
      <c r="E188" s="2"/>
      <c r="F188" s="2"/>
      <c r="G188" s="2"/>
      <c r="H188" s="2"/>
      <c r="I188" s="2"/>
      <c r="J188" s="2"/>
      <c r="K188" s="2"/>
      <c r="L188" s="2"/>
      <c r="M188" s="2"/>
      <c r="N188" s="2"/>
      <c r="O188" s="2"/>
      <c r="P188" s="93"/>
      <c r="Q188" s="93"/>
      <c r="R188" s="93"/>
      <c r="S188" s="77"/>
      <c r="T188" s="77"/>
      <c r="U188" s="77"/>
      <c r="V188" s="77"/>
      <c r="W188" s="77"/>
      <c r="X188" s="182"/>
      <c r="Y188" s="182"/>
      <c r="Z188" s="182"/>
      <c r="AA188" s="61"/>
      <c r="AB188" s="61"/>
      <c r="AC188" s="61"/>
      <c r="AD188" s="61"/>
      <c r="AE188" s="61"/>
      <c r="AF188" s="93"/>
      <c r="AG188" s="93"/>
      <c r="AH188" s="93"/>
      <c r="AI188" s="155"/>
      <c r="AJ188" s="155"/>
      <c r="AK188" s="182"/>
      <c r="AL188" s="191"/>
      <c r="AM188" s="182"/>
      <c r="AN188" s="165"/>
      <c r="AO188" s="165"/>
      <c r="AP188" s="165"/>
      <c r="AQ188" s="182"/>
      <c r="AR188" s="182"/>
      <c r="AS188" s="182"/>
      <c r="AT188" s="61"/>
      <c r="AU188" s="61"/>
      <c r="AV188" s="61"/>
      <c r="AW188" s="201"/>
      <c r="AX188" s="201"/>
      <c r="AY188" s="216"/>
      <c r="AZ188" s="216"/>
      <c r="BA188" s="216"/>
      <c r="BB188" s="216"/>
      <c r="BC188" s="2"/>
      <c r="BD188" s="2"/>
      <c r="BE188" s="2"/>
      <c r="BF188" s="2"/>
      <c r="BG188" s="2"/>
      <c r="BH188" s="2"/>
      <c r="BI188" s="2"/>
      <c r="BJ188" s="2"/>
      <c r="BK188" s="2"/>
      <c r="BL188" s="2"/>
      <c r="BM188" s="2"/>
      <c r="CI188" s="107"/>
      <c r="CJ188" s="107"/>
      <c r="CK188" s="107"/>
    </row>
    <row r="189" spans="4:89" s="28" customFormat="1" x14ac:dyDescent="0.35">
      <c r="D189" s="2"/>
      <c r="E189" s="2"/>
      <c r="F189" s="2"/>
      <c r="G189" s="2"/>
      <c r="H189" s="2"/>
      <c r="I189" s="2"/>
      <c r="J189" s="2"/>
      <c r="K189" s="2"/>
      <c r="L189" s="2"/>
      <c r="M189" s="2"/>
      <c r="N189" s="2"/>
      <c r="O189" s="2"/>
      <c r="P189" s="93"/>
      <c r="Q189" s="93"/>
      <c r="R189" s="93"/>
      <c r="S189" s="77"/>
      <c r="T189" s="77"/>
      <c r="U189" s="77"/>
      <c r="V189" s="77"/>
      <c r="W189" s="77"/>
      <c r="X189" s="182"/>
      <c r="Y189" s="182"/>
      <c r="Z189" s="182"/>
      <c r="AA189" s="61"/>
      <c r="AB189" s="61"/>
      <c r="AC189" s="61"/>
      <c r="AD189" s="61"/>
      <c r="AE189" s="61"/>
      <c r="AF189" s="93"/>
      <c r="AG189" s="93"/>
      <c r="AH189" s="93"/>
      <c r="AI189" s="155"/>
      <c r="AJ189" s="155"/>
      <c r="AK189" s="182"/>
      <c r="AL189" s="191"/>
      <c r="AM189" s="182"/>
      <c r="AN189" s="165"/>
      <c r="AO189" s="165"/>
      <c r="AP189" s="165"/>
      <c r="AQ189" s="182"/>
      <c r="AR189" s="182"/>
      <c r="AS189" s="182"/>
      <c r="AT189" s="61"/>
      <c r="AU189" s="61"/>
      <c r="AV189" s="61"/>
      <c r="AW189" s="201"/>
      <c r="AX189" s="201"/>
      <c r="AY189" s="216"/>
      <c r="AZ189" s="216"/>
      <c r="BA189" s="216"/>
      <c r="BB189" s="216"/>
      <c r="BC189" s="2"/>
      <c r="BD189" s="2"/>
      <c r="BE189" s="2"/>
      <c r="BF189" s="2"/>
      <c r="BG189" s="2"/>
      <c r="BH189" s="2"/>
      <c r="BI189" s="2"/>
      <c r="BJ189" s="2"/>
      <c r="BK189" s="2"/>
      <c r="BL189" s="2"/>
      <c r="BM189" s="2"/>
      <c r="CI189" s="107"/>
      <c r="CJ189" s="107"/>
      <c r="CK189" s="107"/>
    </row>
    <row r="190" spans="4:89" s="28" customFormat="1" x14ac:dyDescent="0.35">
      <c r="D190" s="2"/>
      <c r="E190" s="2"/>
      <c r="F190" s="2"/>
      <c r="G190" s="2"/>
      <c r="H190" s="2"/>
      <c r="I190" s="2"/>
      <c r="J190" s="2"/>
      <c r="K190" s="2"/>
      <c r="L190" s="2"/>
      <c r="M190" s="2"/>
      <c r="N190" s="2"/>
      <c r="O190" s="2"/>
      <c r="P190" s="93"/>
      <c r="Q190" s="93"/>
      <c r="R190" s="93"/>
      <c r="S190" s="77"/>
      <c r="T190" s="77"/>
      <c r="U190" s="77"/>
      <c r="V190" s="77"/>
      <c r="W190" s="77"/>
      <c r="X190" s="182"/>
      <c r="Y190" s="182"/>
      <c r="Z190" s="182"/>
      <c r="AA190" s="61"/>
      <c r="AB190" s="61"/>
      <c r="AC190" s="61"/>
      <c r="AD190" s="61"/>
      <c r="AE190" s="61"/>
      <c r="AF190" s="93"/>
      <c r="AG190" s="93"/>
      <c r="AH190" s="93"/>
      <c r="AI190" s="155"/>
      <c r="AJ190" s="155"/>
      <c r="AK190" s="182"/>
      <c r="AL190" s="191"/>
      <c r="AM190" s="182"/>
      <c r="AN190" s="165"/>
      <c r="AO190" s="165"/>
      <c r="AP190" s="165"/>
      <c r="AQ190" s="182"/>
      <c r="AR190" s="182"/>
      <c r="AS190" s="182"/>
      <c r="AT190" s="61"/>
      <c r="AU190" s="61"/>
      <c r="AV190" s="61"/>
      <c r="AW190" s="201"/>
      <c r="AX190" s="201"/>
      <c r="AY190" s="216"/>
      <c r="AZ190" s="216"/>
      <c r="BA190" s="216"/>
      <c r="BB190" s="216"/>
      <c r="BC190" s="2"/>
      <c r="BD190" s="2"/>
      <c r="BE190" s="2"/>
      <c r="BF190" s="2"/>
      <c r="BG190" s="2"/>
      <c r="BH190" s="2"/>
      <c r="BI190" s="2"/>
      <c r="BJ190" s="2"/>
      <c r="BK190" s="2"/>
      <c r="BL190" s="2"/>
      <c r="BM190" s="2"/>
      <c r="CI190" s="107"/>
      <c r="CJ190" s="107"/>
      <c r="CK190" s="107"/>
    </row>
    <row r="191" spans="4:89" s="28" customFormat="1" x14ac:dyDescent="0.35">
      <c r="D191" s="2"/>
      <c r="E191" s="2"/>
      <c r="F191" s="2"/>
      <c r="G191" s="2"/>
      <c r="H191" s="2"/>
      <c r="I191" s="2"/>
      <c r="J191" s="2"/>
      <c r="K191" s="2"/>
      <c r="L191" s="2"/>
      <c r="M191" s="2"/>
      <c r="N191" s="2"/>
      <c r="O191" s="2"/>
      <c r="P191" s="93"/>
      <c r="Q191" s="93"/>
      <c r="R191" s="93"/>
      <c r="S191" s="77"/>
      <c r="T191" s="77"/>
      <c r="U191" s="77"/>
      <c r="V191" s="77"/>
      <c r="W191" s="77"/>
      <c r="X191" s="182"/>
      <c r="Y191" s="182"/>
      <c r="Z191" s="182"/>
      <c r="AA191" s="61"/>
      <c r="AB191" s="61"/>
      <c r="AC191" s="61"/>
      <c r="AD191" s="61"/>
      <c r="AE191" s="61"/>
      <c r="AF191" s="93"/>
      <c r="AG191" s="93"/>
      <c r="AH191" s="93"/>
      <c r="AI191" s="155"/>
      <c r="AJ191" s="155"/>
      <c r="AK191" s="182"/>
      <c r="AL191" s="191"/>
      <c r="AM191" s="182"/>
      <c r="AN191" s="165"/>
      <c r="AO191" s="165"/>
      <c r="AP191" s="165"/>
      <c r="AQ191" s="182"/>
      <c r="AR191" s="182"/>
      <c r="AS191" s="182"/>
      <c r="AT191" s="61"/>
      <c r="AU191" s="61"/>
      <c r="AV191" s="61"/>
      <c r="AW191" s="201"/>
      <c r="AX191" s="201"/>
      <c r="AY191" s="216"/>
      <c r="AZ191" s="216"/>
      <c r="BA191" s="216"/>
      <c r="BB191" s="216"/>
      <c r="BC191" s="2"/>
      <c r="BD191" s="2"/>
      <c r="BE191" s="2"/>
      <c r="BF191" s="2"/>
      <c r="BG191" s="2"/>
      <c r="BH191" s="2"/>
      <c r="BI191" s="2"/>
      <c r="BJ191" s="2"/>
      <c r="BK191" s="2"/>
      <c r="BL191" s="2"/>
      <c r="BM191" s="2"/>
      <c r="CI191" s="107"/>
      <c r="CJ191" s="107"/>
      <c r="CK191" s="107"/>
    </row>
    <row r="192" spans="4:89" s="28" customFormat="1" x14ac:dyDescent="0.35">
      <c r="D192" s="2"/>
      <c r="E192" s="2"/>
      <c r="F192" s="2"/>
      <c r="G192" s="2"/>
      <c r="H192" s="2"/>
      <c r="I192" s="2"/>
      <c r="J192" s="2"/>
      <c r="K192" s="2"/>
      <c r="L192" s="2"/>
      <c r="M192" s="2"/>
      <c r="N192" s="2"/>
      <c r="O192" s="2"/>
      <c r="P192" s="93"/>
      <c r="Q192" s="93"/>
      <c r="R192" s="93"/>
      <c r="S192" s="77"/>
      <c r="T192" s="77"/>
      <c r="U192" s="77"/>
      <c r="V192" s="77"/>
      <c r="W192" s="77"/>
      <c r="X192" s="182"/>
      <c r="Y192" s="182"/>
      <c r="Z192" s="182"/>
      <c r="AA192" s="61"/>
      <c r="AB192" s="61"/>
      <c r="AC192" s="61"/>
      <c r="AD192" s="61"/>
      <c r="AE192" s="61"/>
      <c r="AF192" s="93"/>
      <c r="AG192" s="93"/>
      <c r="AH192" s="93"/>
      <c r="AI192" s="155"/>
      <c r="AJ192" s="155"/>
      <c r="AK192" s="182"/>
      <c r="AL192" s="191"/>
      <c r="AM192" s="182"/>
      <c r="AN192" s="165"/>
      <c r="AO192" s="165"/>
      <c r="AP192" s="165"/>
      <c r="AQ192" s="182"/>
      <c r="AR192" s="182"/>
      <c r="AS192" s="182"/>
      <c r="AT192" s="61"/>
      <c r="AU192" s="61"/>
      <c r="AV192" s="61"/>
      <c r="AW192" s="201"/>
      <c r="AX192" s="201"/>
      <c r="AY192" s="216"/>
      <c r="AZ192" s="216"/>
      <c r="BA192" s="216"/>
      <c r="BB192" s="216"/>
      <c r="BC192" s="2"/>
      <c r="BD192" s="2"/>
      <c r="BE192" s="2"/>
      <c r="BF192" s="2"/>
      <c r="BG192" s="2"/>
      <c r="BH192" s="2"/>
      <c r="BI192" s="2"/>
      <c r="BJ192" s="2"/>
      <c r="BK192" s="2"/>
      <c r="BL192" s="2"/>
      <c r="BM192" s="2"/>
      <c r="CI192" s="107"/>
      <c r="CJ192" s="107"/>
      <c r="CK192" s="107"/>
    </row>
    <row r="193" spans="4:89" s="28" customFormat="1" x14ac:dyDescent="0.35">
      <c r="D193" s="2"/>
      <c r="E193" s="2"/>
      <c r="F193" s="2"/>
      <c r="G193" s="2"/>
      <c r="H193" s="2"/>
      <c r="I193" s="2"/>
      <c r="J193" s="2"/>
      <c r="K193" s="2"/>
      <c r="L193" s="2"/>
      <c r="M193" s="2"/>
      <c r="N193" s="2"/>
      <c r="O193" s="2"/>
      <c r="P193" s="93"/>
      <c r="Q193" s="93"/>
      <c r="R193" s="93"/>
      <c r="S193" s="77"/>
      <c r="T193" s="77"/>
      <c r="U193" s="77"/>
      <c r="V193" s="77"/>
      <c r="W193" s="77"/>
      <c r="X193" s="182"/>
      <c r="Y193" s="182"/>
      <c r="Z193" s="182"/>
      <c r="AA193" s="61"/>
      <c r="AB193" s="61"/>
      <c r="AC193" s="61"/>
      <c r="AD193" s="61"/>
      <c r="AE193" s="61"/>
      <c r="AF193" s="93"/>
      <c r="AG193" s="93"/>
      <c r="AH193" s="93"/>
      <c r="AI193" s="155"/>
      <c r="AJ193" s="155"/>
      <c r="AK193" s="182"/>
      <c r="AL193" s="191"/>
      <c r="AM193" s="182"/>
      <c r="AN193" s="165"/>
      <c r="AO193" s="165"/>
      <c r="AP193" s="165"/>
      <c r="AQ193" s="182"/>
      <c r="AR193" s="182"/>
      <c r="AS193" s="182"/>
      <c r="AT193" s="61"/>
      <c r="AU193" s="61"/>
      <c r="AV193" s="61"/>
      <c r="AW193" s="201"/>
      <c r="AX193" s="201"/>
      <c r="AY193" s="216"/>
      <c r="AZ193" s="216"/>
      <c r="BA193" s="216"/>
      <c r="BB193" s="216"/>
      <c r="BC193" s="2"/>
      <c r="BD193" s="2"/>
      <c r="BE193" s="2"/>
      <c r="BF193" s="2"/>
      <c r="BG193" s="2"/>
      <c r="BH193" s="2"/>
      <c r="BI193" s="2"/>
      <c r="BJ193" s="2"/>
      <c r="BK193" s="2"/>
      <c r="BL193" s="2"/>
      <c r="BM193" s="2"/>
      <c r="CI193" s="107"/>
      <c r="CJ193" s="107"/>
      <c r="CK193" s="107"/>
    </row>
    <row r="194" spans="4:89" s="28" customFormat="1" x14ac:dyDescent="0.35">
      <c r="D194" s="2"/>
      <c r="E194" s="2"/>
      <c r="F194" s="2"/>
      <c r="G194" s="2"/>
      <c r="H194" s="2"/>
      <c r="I194" s="2"/>
      <c r="J194" s="2"/>
      <c r="K194" s="2"/>
      <c r="L194" s="2"/>
      <c r="M194" s="2"/>
      <c r="N194" s="2"/>
      <c r="O194" s="2"/>
      <c r="P194" s="93"/>
      <c r="Q194" s="93"/>
      <c r="R194" s="93"/>
      <c r="S194" s="77"/>
      <c r="T194" s="77"/>
      <c r="U194" s="77"/>
      <c r="V194" s="77"/>
      <c r="W194" s="77"/>
      <c r="X194" s="182"/>
      <c r="Y194" s="182"/>
      <c r="Z194" s="182"/>
      <c r="AA194" s="61"/>
      <c r="AB194" s="61"/>
      <c r="AC194" s="61"/>
      <c r="AD194" s="61"/>
      <c r="AE194" s="61"/>
      <c r="AF194" s="93"/>
      <c r="AG194" s="93"/>
      <c r="AH194" s="93"/>
      <c r="AI194" s="155"/>
      <c r="AJ194" s="155"/>
      <c r="AK194" s="182"/>
      <c r="AL194" s="191"/>
      <c r="AM194" s="182"/>
      <c r="AN194" s="165"/>
      <c r="AO194" s="165"/>
      <c r="AP194" s="165"/>
      <c r="AQ194" s="182"/>
      <c r="AR194" s="182"/>
      <c r="AS194" s="182"/>
      <c r="AT194" s="61"/>
      <c r="AU194" s="61"/>
      <c r="AV194" s="61"/>
      <c r="AW194" s="201"/>
      <c r="AX194" s="201"/>
      <c r="AY194" s="216"/>
      <c r="AZ194" s="216"/>
      <c r="BA194" s="216"/>
      <c r="BB194" s="216"/>
      <c r="BC194" s="2"/>
      <c r="BD194" s="2"/>
      <c r="BE194" s="2"/>
      <c r="BF194" s="2"/>
      <c r="BG194" s="2"/>
      <c r="BH194" s="2"/>
      <c r="BI194" s="2"/>
      <c r="BJ194" s="2"/>
      <c r="BK194" s="2"/>
      <c r="BL194" s="2"/>
      <c r="BM194" s="2"/>
      <c r="CI194" s="107"/>
      <c r="CJ194" s="107"/>
      <c r="CK194" s="107"/>
    </row>
    <row r="195" spans="4:89" s="28" customFormat="1" x14ac:dyDescent="0.35">
      <c r="D195" s="2"/>
      <c r="E195" s="2"/>
      <c r="F195" s="2"/>
      <c r="G195" s="2"/>
      <c r="H195" s="2"/>
      <c r="I195" s="2"/>
      <c r="J195" s="2"/>
      <c r="K195" s="2"/>
      <c r="L195" s="2"/>
      <c r="M195" s="2"/>
      <c r="N195" s="2"/>
      <c r="O195" s="2"/>
      <c r="P195" s="93"/>
      <c r="Q195" s="93"/>
      <c r="R195" s="93"/>
      <c r="S195" s="77"/>
      <c r="T195" s="77"/>
      <c r="U195" s="77"/>
      <c r="V195" s="77"/>
      <c r="W195" s="77"/>
      <c r="X195" s="182"/>
      <c r="Y195" s="182"/>
      <c r="Z195" s="182"/>
      <c r="AA195" s="61"/>
      <c r="AB195" s="61"/>
      <c r="AC195" s="61"/>
      <c r="AD195" s="61"/>
      <c r="AE195" s="61"/>
      <c r="AF195" s="93"/>
      <c r="AG195" s="93"/>
      <c r="AH195" s="93"/>
      <c r="AI195" s="155"/>
      <c r="AJ195" s="155"/>
      <c r="AK195" s="182"/>
      <c r="AL195" s="191"/>
      <c r="AM195" s="182"/>
      <c r="AN195" s="165"/>
      <c r="AO195" s="165"/>
      <c r="AP195" s="165"/>
      <c r="AQ195" s="182"/>
      <c r="AR195" s="182"/>
      <c r="AS195" s="182"/>
      <c r="AT195" s="61"/>
      <c r="AU195" s="61"/>
      <c r="AV195" s="61"/>
      <c r="AW195" s="201"/>
      <c r="AX195" s="201"/>
      <c r="AY195" s="216"/>
      <c r="AZ195" s="216"/>
      <c r="BA195" s="216"/>
      <c r="BB195" s="216"/>
      <c r="BC195" s="2"/>
      <c r="BD195" s="2"/>
      <c r="BE195" s="2"/>
      <c r="BF195" s="2"/>
      <c r="BG195" s="2"/>
      <c r="BH195" s="2"/>
      <c r="BI195" s="2"/>
      <c r="BJ195" s="2"/>
      <c r="BK195" s="2"/>
      <c r="BL195" s="2"/>
      <c r="BM195" s="2"/>
      <c r="CI195" s="107"/>
      <c r="CJ195" s="107"/>
      <c r="CK195" s="107"/>
    </row>
    <row r="196" spans="4:89" s="28" customFormat="1" x14ac:dyDescent="0.35">
      <c r="D196" s="2"/>
      <c r="E196" s="2"/>
      <c r="F196" s="2"/>
      <c r="G196" s="2"/>
      <c r="H196" s="2"/>
      <c r="I196" s="2"/>
      <c r="J196" s="2"/>
      <c r="K196" s="2"/>
      <c r="L196" s="2"/>
      <c r="M196" s="2"/>
      <c r="N196" s="2"/>
      <c r="O196" s="2"/>
      <c r="P196" s="93"/>
      <c r="Q196" s="93"/>
      <c r="R196" s="93"/>
      <c r="S196" s="77"/>
      <c r="T196" s="77"/>
      <c r="U196" s="77"/>
      <c r="V196" s="77"/>
      <c r="W196" s="77"/>
      <c r="X196" s="182"/>
      <c r="Y196" s="182"/>
      <c r="Z196" s="182"/>
      <c r="AA196" s="61"/>
      <c r="AB196" s="61"/>
      <c r="AC196" s="61"/>
      <c r="AD196" s="61"/>
      <c r="AE196" s="61"/>
      <c r="AF196" s="93"/>
      <c r="AG196" s="93"/>
      <c r="AH196" s="93"/>
      <c r="AI196" s="155"/>
      <c r="AJ196" s="155"/>
      <c r="AK196" s="182"/>
      <c r="AL196" s="191"/>
      <c r="AM196" s="182"/>
      <c r="AN196" s="165"/>
      <c r="AO196" s="165"/>
      <c r="AP196" s="165"/>
      <c r="AQ196" s="182"/>
      <c r="AR196" s="182"/>
      <c r="AS196" s="182"/>
      <c r="AT196" s="61"/>
      <c r="AU196" s="61"/>
      <c r="AV196" s="61"/>
      <c r="AW196" s="201"/>
      <c r="AX196" s="201"/>
      <c r="AY196" s="216"/>
      <c r="AZ196" s="216"/>
      <c r="BA196" s="216"/>
      <c r="BB196" s="216"/>
      <c r="BC196" s="2"/>
      <c r="BD196" s="2"/>
      <c r="BE196" s="2"/>
      <c r="BF196" s="2"/>
      <c r="BG196" s="2"/>
      <c r="BH196" s="2"/>
      <c r="BI196" s="2"/>
      <c r="BJ196" s="2"/>
      <c r="BK196" s="2"/>
      <c r="BL196" s="2"/>
      <c r="BM196" s="2"/>
      <c r="CI196" s="107"/>
      <c r="CJ196" s="107"/>
      <c r="CK196" s="107"/>
    </row>
    <row r="197" spans="4:89" s="28" customFormat="1" x14ac:dyDescent="0.35">
      <c r="D197" s="2"/>
      <c r="E197" s="2"/>
      <c r="F197" s="2"/>
      <c r="G197" s="2"/>
      <c r="H197" s="2"/>
      <c r="I197" s="2"/>
      <c r="J197" s="2"/>
      <c r="K197" s="2"/>
      <c r="L197" s="2"/>
      <c r="M197" s="2"/>
      <c r="N197" s="2"/>
      <c r="O197" s="2"/>
      <c r="P197" s="93"/>
      <c r="Q197" s="93"/>
      <c r="R197" s="93"/>
      <c r="S197" s="77"/>
      <c r="T197" s="77"/>
      <c r="U197" s="77"/>
      <c r="V197" s="77"/>
      <c r="W197" s="77"/>
      <c r="X197" s="182"/>
      <c r="Y197" s="182"/>
      <c r="Z197" s="182"/>
      <c r="AA197" s="61"/>
      <c r="AB197" s="61"/>
      <c r="AC197" s="61"/>
      <c r="AD197" s="61"/>
      <c r="AE197" s="61"/>
      <c r="AF197" s="93"/>
      <c r="AG197" s="93"/>
      <c r="AH197" s="93"/>
      <c r="AI197" s="155"/>
      <c r="AJ197" s="155"/>
      <c r="AK197" s="182"/>
      <c r="AL197" s="191"/>
      <c r="AM197" s="182"/>
      <c r="AN197" s="165"/>
      <c r="AO197" s="165"/>
      <c r="AP197" s="165"/>
      <c r="AQ197" s="182"/>
      <c r="AR197" s="182"/>
      <c r="AS197" s="182"/>
      <c r="AT197" s="61"/>
      <c r="AU197" s="61"/>
      <c r="AV197" s="61"/>
      <c r="AW197" s="201"/>
      <c r="AX197" s="201"/>
      <c r="AY197" s="216"/>
      <c r="AZ197" s="216"/>
      <c r="BA197" s="216"/>
      <c r="BB197" s="216"/>
      <c r="BC197" s="2"/>
      <c r="BD197" s="2"/>
      <c r="BE197" s="2"/>
      <c r="BF197" s="2"/>
      <c r="BG197" s="2"/>
      <c r="BH197" s="2"/>
      <c r="BI197" s="2"/>
      <c r="BJ197" s="2"/>
      <c r="BK197" s="2"/>
      <c r="BL197" s="2"/>
      <c r="BM197" s="2"/>
      <c r="CI197" s="107"/>
      <c r="CJ197" s="107"/>
      <c r="CK197" s="107"/>
    </row>
    <row r="198" spans="4:89" s="28" customFormat="1" x14ac:dyDescent="0.35">
      <c r="D198" s="2"/>
      <c r="E198" s="2"/>
      <c r="F198" s="2"/>
      <c r="G198" s="2"/>
      <c r="H198" s="2"/>
      <c r="I198" s="2"/>
      <c r="J198" s="2"/>
      <c r="K198" s="2"/>
      <c r="L198" s="2"/>
      <c r="M198" s="2"/>
      <c r="N198" s="2"/>
      <c r="O198" s="2"/>
      <c r="P198" s="93"/>
      <c r="Q198" s="93"/>
      <c r="R198" s="93"/>
      <c r="S198" s="77"/>
      <c r="T198" s="77"/>
      <c r="U198" s="77"/>
      <c r="V198" s="77"/>
      <c r="W198" s="77"/>
      <c r="X198" s="182"/>
      <c r="Y198" s="182"/>
      <c r="Z198" s="182"/>
      <c r="AA198" s="61"/>
      <c r="AB198" s="61"/>
      <c r="AC198" s="61"/>
      <c r="AD198" s="61"/>
      <c r="AE198" s="61"/>
      <c r="AF198" s="93"/>
      <c r="AG198" s="93"/>
      <c r="AH198" s="93"/>
      <c r="AI198" s="155"/>
      <c r="AJ198" s="155"/>
      <c r="AK198" s="182"/>
      <c r="AL198" s="191"/>
      <c r="AM198" s="182"/>
      <c r="AN198" s="165"/>
      <c r="AO198" s="165"/>
      <c r="AP198" s="165"/>
      <c r="AQ198" s="182"/>
      <c r="AR198" s="182"/>
      <c r="AS198" s="182"/>
      <c r="AT198" s="61"/>
      <c r="AU198" s="61"/>
      <c r="AV198" s="61"/>
      <c r="AW198" s="201"/>
      <c r="AX198" s="201"/>
      <c r="AY198" s="216"/>
      <c r="AZ198" s="216"/>
      <c r="BA198" s="216"/>
      <c r="BB198" s="216"/>
      <c r="BC198" s="2"/>
      <c r="BD198" s="2"/>
      <c r="BE198" s="2"/>
      <c r="BF198" s="2"/>
      <c r="BG198" s="2"/>
      <c r="BH198" s="2"/>
      <c r="BI198" s="2"/>
      <c r="BJ198" s="2"/>
      <c r="BK198" s="2"/>
      <c r="BL198" s="2"/>
      <c r="BM198" s="2"/>
      <c r="CI198" s="107"/>
      <c r="CJ198" s="107"/>
      <c r="CK198" s="107"/>
    </row>
    <row r="199" spans="4:89" s="28" customFormat="1" x14ac:dyDescent="0.35">
      <c r="D199" s="2"/>
      <c r="E199" s="2"/>
      <c r="F199" s="2"/>
      <c r="G199" s="2"/>
      <c r="H199" s="2"/>
      <c r="I199" s="2"/>
      <c r="J199" s="2"/>
      <c r="K199" s="2"/>
      <c r="L199" s="2"/>
      <c r="M199" s="2"/>
      <c r="N199" s="2"/>
      <c r="O199" s="2"/>
      <c r="P199" s="93"/>
      <c r="Q199" s="93"/>
      <c r="R199" s="93"/>
      <c r="S199" s="77"/>
      <c r="T199" s="77"/>
      <c r="U199" s="77"/>
      <c r="V199" s="77"/>
      <c r="W199" s="77"/>
      <c r="X199" s="182"/>
      <c r="Y199" s="182"/>
      <c r="Z199" s="182"/>
      <c r="AA199" s="61"/>
      <c r="AB199" s="61"/>
      <c r="AC199" s="61"/>
      <c r="AD199" s="61"/>
      <c r="AE199" s="61"/>
      <c r="AF199" s="93"/>
      <c r="AG199" s="93"/>
      <c r="AH199" s="93"/>
      <c r="AI199" s="155"/>
      <c r="AJ199" s="155"/>
      <c r="AK199" s="182"/>
      <c r="AL199" s="191"/>
      <c r="AM199" s="182"/>
      <c r="AN199" s="165"/>
      <c r="AO199" s="165"/>
      <c r="AP199" s="165"/>
      <c r="AQ199" s="182"/>
      <c r="AR199" s="182"/>
      <c r="AS199" s="182"/>
      <c r="AT199" s="61"/>
      <c r="AU199" s="61"/>
      <c r="AV199" s="61"/>
      <c r="AW199" s="201"/>
      <c r="AX199" s="201"/>
      <c r="AY199" s="216"/>
      <c r="AZ199" s="216"/>
      <c r="BA199" s="216"/>
      <c r="BB199" s="216"/>
      <c r="BC199" s="2"/>
      <c r="BD199" s="2"/>
      <c r="BE199" s="2"/>
      <c r="BF199" s="2"/>
      <c r="BG199" s="2"/>
      <c r="BH199" s="2"/>
      <c r="BI199" s="2"/>
      <c r="BJ199" s="2"/>
      <c r="BK199" s="2"/>
      <c r="BL199" s="2"/>
      <c r="BM199" s="2"/>
      <c r="CI199" s="107"/>
      <c r="CJ199" s="107"/>
      <c r="CK199" s="107"/>
    </row>
    <row r="200" spans="4:89" s="28" customFormat="1" x14ac:dyDescent="0.35">
      <c r="D200" s="2"/>
      <c r="E200" s="2"/>
      <c r="F200" s="2"/>
      <c r="G200" s="2"/>
      <c r="H200" s="2"/>
      <c r="I200" s="2"/>
      <c r="J200" s="2"/>
      <c r="K200" s="2"/>
      <c r="L200" s="2"/>
      <c r="M200" s="2"/>
      <c r="N200" s="2"/>
      <c r="O200" s="2"/>
      <c r="P200" s="93"/>
      <c r="Q200" s="93"/>
      <c r="R200" s="93"/>
      <c r="S200" s="77"/>
      <c r="T200" s="77"/>
      <c r="U200" s="77"/>
      <c r="V200" s="77"/>
      <c r="W200" s="77"/>
      <c r="X200" s="182"/>
      <c r="Y200" s="182"/>
      <c r="Z200" s="182"/>
      <c r="AA200" s="61"/>
      <c r="AB200" s="61"/>
      <c r="AC200" s="61"/>
      <c r="AD200" s="61"/>
      <c r="AE200" s="61"/>
      <c r="AF200" s="93"/>
      <c r="AG200" s="93"/>
      <c r="AH200" s="93"/>
      <c r="AI200" s="155"/>
      <c r="AJ200" s="155"/>
      <c r="AK200" s="182"/>
      <c r="AL200" s="191"/>
      <c r="AM200" s="182"/>
      <c r="AN200" s="165"/>
      <c r="AO200" s="165"/>
      <c r="AP200" s="165"/>
      <c r="AQ200" s="182"/>
      <c r="AR200" s="182"/>
      <c r="AS200" s="182"/>
      <c r="AT200" s="61"/>
      <c r="AU200" s="61"/>
      <c r="AV200" s="61"/>
      <c r="AW200" s="201"/>
      <c r="AX200" s="201"/>
      <c r="AY200" s="216"/>
      <c r="AZ200" s="216"/>
      <c r="BA200" s="216"/>
      <c r="BB200" s="216"/>
      <c r="BC200" s="2"/>
      <c r="BD200" s="2"/>
      <c r="BE200" s="2"/>
      <c r="BF200" s="2"/>
      <c r="BG200" s="2"/>
      <c r="BH200" s="2"/>
      <c r="BI200" s="2"/>
      <c r="BJ200" s="2"/>
      <c r="BK200" s="2"/>
      <c r="BL200" s="2"/>
      <c r="BM200" s="2"/>
      <c r="CI200" s="107"/>
      <c r="CJ200" s="107"/>
      <c r="CK200" s="107"/>
    </row>
    <row r="201" spans="4:89" s="28" customFormat="1" x14ac:dyDescent="0.35">
      <c r="D201" s="2"/>
      <c r="E201" s="2"/>
      <c r="F201" s="2"/>
      <c r="G201" s="2"/>
      <c r="H201" s="2"/>
      <c r="I201" s="2"/>
      <c r="J201" s="2"/>
      <c r="K201" s="2"/>
      <c r="L201" s="2"/>
      <c r="M201" s="2"/>
      <c r="N201" s="2"/>
      <c r="O201" s="2"/>
      <c r="P201" s="93"/>
      <c r="Q201" s="93"/>
      <c r="R201" s="93"/>
      <c r="S201" s="77"/>
      <c r="T201" s="77"/>
      <c r="U201" s="77"/>
      <c r="V201" s="77"/>
      <c r="W201" s="77"/>
      <c r="X201" s="182"/>
      <c r="Y201" s="182"/>
      <c r="Z201" s="182"/>
      <c r="AA201" s="61"/>
      <c r="AB201" s="61"/>
      <c r="AC201" s="61"/>
      <c r="AD201" s="61"/>
      <c r="AE201" s="61"/>
      <c r="AF201" s="93"/>
      <c r="AG201" s="93"/>
      <c r="AH201" s="93"/>
      <c r="AI201" s="155"/>
      <c r="AJ201" s="155"/>
      <c r="AK201" s="182"/>
      <c r="AL201" s="191"/>
      <c r="AM201" s="182"/>
      <c r="AN201" s="165"/>
      <c r="AO201" s="165"/>
      <c r="AP201" s="165"/>
      <c r="AQ201" s="182"/>
      <c r="AR201" s="182"/>
      <c r="AS201" s="182"/>
      <c r="AT201" s="61"/>
      <c r="AU201" s="61"/>
      <c r="AV201" s="61"/>
      <c r="AW201" s="201"/>
      <c r="AX201" s="201"/>
      <c r="AY201" s="216"/>
      <c r="AZ201" s="216"/>
      <c r="BA201" s="216"/>
      <c r="BB201" s="216"/>
      <c r="BC201" s="2"/>
      <c r="BD201" s="2"/>
      <c r="BE201" s="2"/>
      <c r="BF201" s="2"/>
      <c r="BG201" s="2"/>
      <c r="BH201" s="2"/>
      <c r="BI201" s="2"/>
      <c r="BJ201" s="2"/>
      <c r="BK201" s="2"/>
      <c r="BL201" s="2"/>
      <c r="BM201" s="2"/>
      <c r="CI201" s="107"/>
      <c r="CJ201" s="107"/>
      <c r="CK201" s="107"/>
    </row>
    <row r="202" spans="4:89" s="28" customFormat="1" x14ac:dyDescent="0.35">
      <c r="D202" s="2"/>
      <c r="E202" s="2"/>
      <c r="F202" s="2"/>
      <c r="G202" s="2"/>
      <c r="H202" s="2"/>
      <c r="I202" s="2"/>
      <c r="J202" s="2"/>
      <c r="K202" s="2"/>
      <c r="L202" s="2"/>
      <c r="M202" s="2"/>
      <c r="N202" s="2"/>
      <c r="O202" s="2"/>
      <c r="P202" s="93"/>
      <c r="Q202" s="93"/>
      <c r="R202" s="93"/>
      <c r="S202" s="77"/>
      <c r="T202" s="77"/>
      <c r="U202" s="77"/>
      <c r="V202" s="77"/>
      <c r="W202" s="77"/>
      <c r="X202" s="182"/>
      <c r="Y202" s="182"/>
      <c r="Z202" s="182"/>
      <c r="AA202" s="61"/>
      <c r="AB202" s="61"/>
      <c r="AC202" s="61"/>
      <c r="AD202" s="61"/>
      <c r="AE202" s="61"/>
      <c r="AF202" s="93"/>
      <c r="AG202" s="93"/>
      <c r="AH202" s="93"/>
      <c r="AI202" s="155"/>
      <c r="AJ202" s="155"/>
      <c r="AK202" s="182"/>
      <c r="AL202" s="191"/>
      <c r="AM202" s="182"/>
      <c r="AN202" s="165"/>
      <c r="AO202" s="165"/>
      <c r="AP202" s="165"/>
      <c r="AQ202" s="182"/>
      <c r="AR202" s="182"/>
      <c r="AS202" s="182"/>
      <c r="AT202" s="61"/>
      <c r="AU202" s="61"/>
      <c r="AV202" s="61"/>
      <c r="AW202" s="201"/>
      <c r="AX202" s="201"/>
      <c r="AY202" s="216"/>
      <c r="AZ202" s="216"/>
      <c r="BA202" s="216"/>
      <c r="BB202" s="216"/>
      <c r="BC202" s="2"/>
      <c r="BD202" s="2"/>
      <c r="BE202" s="2"/>
      <c r="BF202" s="2"/>
      <c r="BG202" s="2"/>
      <c r="BH202" s="2"/>
      <c r="BI202" s="2"/>
      <c r="BJ202" s="2"/>
      <c r="BK202" s="2"/>
      <c r="BL202" s="2"/>
      <c r="BM202" s="2"/>
      <c r="CI202" s="107"/>
      <c r="CJ202" s="107"/>
      <c r="CK202" s="107"/>
    </row>
    <row r="203" spans="4:89" s="28" customFormat="1" x14ac:dyDescent="0.35">
      <c r="D203" s="2"/>
      <c r="E203" s="2"/>
      <c r="F203" s="2"/>
      <c r="G203" s="2"/>
      <c r="H203" s="2"/>
      <c r="I203" s="2"/>
      <c r="J203" s="2"/>
      <c r="K203" s="2"/>
      <c r="L203" s="2"/>
      <c r="M203" s="2"/>
      <c r="N203" s="2"/>
      <c r="O203" s="2"/>
      <c r="P203" s="93"/>
      <c r="Q203" s="93"/>
      <c r="R203" s="93"/>
      <c r="S203" s="77"/>
      <c r="T203" s="77"/>
      <c r="U203" s="77"/>
      <c r="V203" s="77"/>
      <c r="W203" s="77"/>
      <c r="X203" s="182"/>
      <c r="Y203" s="182"/>
      <c r="Z203" s="182"/>
      <c r="AA203" s="61"/>
      <c r="AB203" s="61"/>
      <c r="AC203" s="61"/>
      <c r="AD203" s="61"/>
      <c r="AE203" s="61"/>
      <c r="AF203" s="93"/>
      <c r="AG203" s="93"/>
      <c r="AH203" s="93"/>
      <c r="AI203" s="155"/>
      <c r="AJ203" s="155"/>
      <c r="AK203" s="182"/>
      <c r="AL203" s="191"/>
      <c r="AM203" s="182"/>
      <c r="AN203" s="165"/>
      <c r="AO203" s="165"/>
      <c r="AP203" s="165"/>
      <c r="AQ203" s="182"/>
      <c r="AR203" s="182"/>
      <c r="AS203" s="182"/>
      <c r="AT203" s="61"/>
      <c r="AU203" s="61"/>
      <c r="AV203" s="61"/>
      <c r="AW203" s="201"/>
      <c r="AX203" s="201"/>
      <c r="AY203" s="216"/>
      <c r="AZ203" s="216"/>
      <c r="BA203" s="216"/>
      <c r="BB203" s="216"/>
      <c r="BC203" s="2"/>
      <c r="BD203" s="2"/>
      <c r="BE203" s="2"/>
      <c r="BF203" s="2"/>
      <c r="BG203" s="2"/>
      <c r="BH203" s="2"/>
      <c r="BI203" s="2"/>
      <c r="BJ203" s="2"/>
      <c r="BK203" s="2"/>
      <c r="BL203" s="2"/>
      <c r="BM203" s="2"/>
      <c r="CI203" s="107"/>
      <c r="CJ203" s="107"/>
      <c r="CK203" s="107"/>
    </row>
    <row r="204" spans="4:89" s="28" customFormat="1" x14ac:dyDescent="0.35">
      <c r="D204" s="2"/>
      <c r="E204" s="2"/>
      <c r="F204" s="2"/>
      <c r="G204" s="2"/>
      <c r="H204" s="2"/>
      <c r="I204" s="2"/>
      <c r="J204" s="2"/>
      <c r="K204" s="2"/>
      <c r="L204" s="2"/>
      <c r="M204" s="2"/>
      <c r="N204" s="2"/>
      <c r="O204" s="2"/>
      <c r="P204" s="93"/>
      <c r="Q204" s="93"/>
      <c r="R204" s="93"/>
      <c r="S204" s="77"/>
      <c r="T204" s="77"/>
      <c r="U204" s="77"/>
      <c r="V204" s="77"/>
      <c r="W204" s="77"/>
      <c r="X204" s="182"/>
      <c r="Y204" s="182"/>
      <c r="Z204" s="182"/>
      <c r="AA204" s="61"/>
      <c r="AB204" s="61"/>
      <c r="AC204" s="61"/>
      <c r="AD204" s="61"/>
      <c r="AE204" s="61"/>
      <c r="AF204" s="93"/>
      <c r="AG204" s="93"/>
      <c r="AH204" s="93"/>
      <c r="AI204" s="155"/>
      <c r="AJ204" s="155"/>
      <c r="AK204" s="182"/>
      <c r="AL204" s="191"/>
      <c r="AM204" s="182"/>
      <c r="AN204" s="165"/>
      <c r="AO204" s="165"/>
      <c r="AP204" s="165"/>
      <c r="AQ204" s="182"/>
      <c r="AR204" s="182"/>
      <c r="AS204" s="182"/>
      <c r="AT204" s="61"/>
      <c r="AU204" s="61"/>
      <c r="AV204" s="61"/>
      <c r="AW204" s="201"/>
      <c r="AX204" s="201"/>
      <c r="AY204" s="216"/>
      <c r="AZ204" s="216"/>
      <c r="BA204" s="216"/>
      <c r="BB204" s="216"/>
      <c r="BC204" s="2"/>
      <c r="BD204" s="2"/>
      <c r="BE204" s="2"/>
      <c r="BF204" s="2"/>
      <c r="BG204" s="2"/>
      <c r="BH204" s="2"/>
      <c r="BI204" s="2"/>
      <c r="BJ204" s="2"/>
      <c r="BK204" s="2"/>
      <c r="BL204" s="2"/>
      <c r="BM204" s="2"/>
      <c r="CI204" s="107"/>
      <c r="CJ204" s="107"/>
      <c r="CK204" s="107"/>
    </row>
    <row r="205" spans="4:89" s="28" customFormat="1" x14ac:dyDescent="0.35">
      <c r="D205" s="2"/>
      <c r="E205" s="2"/>
      <c r="F205" s="2"/>
      <c r="G205" s="2"/>
      <c r="H205" s="2"/>
      <c r="I205" s="2"/>
      <c r="J205" s="2"/>
      <c r="K205" s="2"/>
      <c r="L205" s="2"/>
      <c r="M205" s="2"/>
      <c r="N205" s="2"/>
      <c r="O205" s="2"/>
      <c r="P205" s="93"/>
      <c r="Q205" s="93"/>
      <c r="R205" s="93"/>
      <c r="S205" s="77"/>
      <c r="T205" s="77"/>
      <c r="U205" s="77"/>
      <c r="V205" s="77"/>
      <c r="W205" s="77"/>
      <c r="X205" s="182"/>
      <c r="Y205" s="182"/>
      <c r="Z205" s="182"/>
      <c r="AA205" s="61"/>
      <c r="AB205" s="61"/>
      <c r="AC205" s="61"/>
      <c r="AD205" s="61"/>
      <c r="AE205" s="61"/>
      <c r="AF205" s="93"/>
      <c r="AG205" s="93"/>
      <c r="AH205" s="93"/>
      <c r="AI205" s="155"/>
      <c r="AJ205" s="155"/>
      <c r="AK205" s="182"/>
      <c r="AL205" s="191"/>
      <c r="AM205" s="182"/>
      <c r="AN205" s="165"/>
      <c r="AO205" s="165"/>
      <c r="AP205" s="165"/>
      <c r="AQ205" s="182"/>
      <c r="AR205" s="182"/>
      <c r="AS205" s="182"/>
      <c r="AT205" s="61"/>
      <c r="AU205" s="61"/>
      <c r="AV205" s="61"/>
      <c r="AW205" s="201"/>
      <c r="AX205" s="201"/>
      <c r="AY205" s="216"/>
      <c r="AZ205" s="216"/>
      <c r="BA205" s="216"/>
      <c r="BB205" s="216"/>
      <c r="BC205" s="2"/>
      <c r="BD205" s="2"/>
      <c r="BE205" s="2"/>
      <c r="BF205" s="2"/>
      <c r="BG205" s="2"/>
      <c r="BH205" s="2"/>
      <c r="BI205" s="2"/>
      <c r="BJ205" s="2"/>
      <c r="BK205" s="2"/>
      <c r="BL205" s="2"/>
      <c r="BM205" s="2"/>
      <c r="CI205" s="107"/>
      <c r="CJ205" s="107"/>
      <c r="CK205" s="107"/>
    </row>
    <row r="206" spans="4:89" s="28" customFormat="1" x14ac:dyDescent="0.35">
      <c r="D206" s="2"/>
      <c r="E206" s="2"/>
      <c r="F206" s="2"/>
      <c r="G206" s="2"/>
      <c r="H206" s="2"/>
      <c r="I206" s="2"/>
      <c r="J206" s="2"/>
      <c r="K206" s="2"/>
      <c r="L206" s="2"/>
      <c r="M206" s="2"/>
      <c r="N206" s="2"/>
      <c r="O206" s="2"/>
      <c r="P206" s="93"/>
      <c r="Q206" s="93"/>
      <c r="R206" s="93"/>
      <c r="S206" s="77"/>
      <c r="T206" s="77"/>
      <c r="U206" s="77"/>
      <c r="V206" s="77"/>
      <c r="W206" s="77"/>
      <c r="X206" s="182"/>
      <c r="Y206" s="182"/>
      <c r="Z206" s="182"/>
      <c r="AA206" s="61"/>
      <c r="AB206" s="61"/>
      <c r="AC206" s="61"/>
      <c r="AD206" s="61"/>
      <c r="AE206" s="61"/>
      <c r="AF206" s="93"/>
      <c r="AG206" s="93"/>
      <c r="AH206" s="93"/>
      <c r="AI206" s="155"/>
      <c r="AJ206" s="155"/>
      <c r="AK206" s="182"/>
      <c r="AL206" s="191"/>
      <c r="AM206" s="182"/>
      <c r="AN206" s="165"/>
      <c r="AO206" s="165"/>
      <c r="AP206" s="165"/>
      <c r="AQ206" s="182"/>
      <c r="AR206" s="182"/>
      <c r="AS206" s="182"/>
      <c r="AT206" s="61"/>
      <c r="AU206" s="61"/>
      <c r="AV206" s="61"/>
      <c r="AW206" s="201"/>
      <c r="AX206" s="201"/>
      <c r="AY206" s="216"/>
      <c r="AZ206" s="216"/>
      <c r="BA206" s="216"/>
      <c r="BB206" s="216"/>
      <c r="BC206" s="2"/>
      <c r="BD206" s="2"/>
      <c r="BE206" s="2"/>
      <c r="BF206" s="2"/>
      <c r="BG206" s="2"/>
      <c r="BH206" s="2"/>
      <c r="BI206" s="2"/>
      <c r="BJ206" s="2"/>
      <c r="BK206" s="2"/>
      <c r="BL206" s="2"/>
      <c r="BM206" s="2"/>
      <c r="CI206" s="107"/>
      <c r="CJ206" s="107"/>
      <c r="CK206" s="107"/>
    </row>
    <row r="207" spans="4:89" s="28" customFormat="1" x14ac:dyDescent="0.35">
      <c r="D207" s="2"/>
      <c r="E207" s="2"/>
      <c r="F207" s="2"/>
      <c r="G207" s="2"/>
      <c r="H207" s="2"/>
      <c r="I207" s="2"/>
      <c r="J207" s="2"/>
      <c r="K207" s="2"/>
      <c r="L207" s="2"/>
      <c r="M207" s="2"/>
      <c r="N207" s="2"/>
      <c r="O207" s="2"/>
      <c r="P207" s="93"/>
      <c r="Q207" s="93"/>
      <c r="R207" s="93"/>
      <c r="S207" s="77"/>
      <c r="T207" s="77"/>
      <c r="U207" s="77"/>
      <c r="V207" s="77"/>
      <c r="W207" s="77"/>
      <c r="X207" s="182"/>
      <c r="Y207" s="182"/>
      <c r="Z207" s="182"/>
      <c r="AA207" s="61"/>
      <c r="AB207" s="61"/>
      <c r="AC207" s="61"/>
      <c r="AD207" s="61"/>
      <c r="AE207" s="61"/>
      <c r="AF207" s="93"/>
      <c r="AG207" s="93"/>
      <c r="AH207" s="93"/>
      <c r="AI207" s="155"/>
      <c r="AJ207" s="155"/>
      <c r="AK207" s="182"/>
      <c r="AL207" s="191"/>
      <c r="AM207" s="182"/>
      <c r="AN207" s="165"/>
      <c r="AO207" s="165"/>
      <c r="AP207" s="165"/>
      <c r="AQ207" s="182"/>
      <c r="AR207" s="182"/>
      <c r="AS207" s="182"/>
      <c r="AT207" s="61"/>
      <c r="AU207" s="61"/>
      <c r="AV207" s="61"/>
      <c r="AW207" s="201"/>
      <c r="AX207" s="201"/>
      <c r="AY207" s="216"/>
      <c r="AZ207" s="216"/>
      <c r="BA207" s="216"/>
      <c r="BB207" s="216"/>
      <c r="BC207" s="2"/>
      <c r="BD207" s="2"/>
      <c r="BE207" s="2"/>
      <c r="BF207" s="2"/>
      <c r="BG207" s="2"/>
      <c r="BH207" s="2"/>
      <c r="BI207" s="2"/>
      <c r="BJ207" s="2"/>
      <c r="BK207" s="2"/>
      <c r="BL207" s="2"/>
      <c r="BM207" s="2"/>
      <c r="CI207" s="107"/>
      <c r="CJ207" s="107"/>
      <c r="CK207" s="107"/>
    </row>
    <row r="208" spans="4:89" s="28" customFormat="1" x14ac:dyDescent="0.35">
      <c r="D208" s="2"/>
      <c r="E208" s="2"/>
      <c r="F208" s="2"/>
      <c r="G208" s="2"/>
      <c r="H208" s="2"/>
      <c r="I208" s="2"/>
      <c r="J208" s="2"/>
      <c r="K208" s="2"/>
      <c r="L208" s="2"/>
      <c r="M208" s="2"/>
      <c r="N208" s="2"/>
      <c r="O208" s="2"/>
      <c r="P208" s="93"/>
      <c r="Q208" s="93"/>
      <c r="R208" s="93"/>
      <c r="S208" s="77"/>
      <c r="T208" s="77"/>
      <c r="U208" s="77"/>
      <c r="V208" s="77"/>
      <c r="W208" s="77"/>
      <c r="X208" s="182"/>
      <c r="Y208" s="182"/>
      <c r="Z208" s="182"/>
      <c r="AA208" s="61"/>
      <c r="AB208" s="61"/>
      <c r="AC208" s="61"/>
      <c r="AD208" s="61"/>
      <c r="AE208" s="61"/>
      <c r="AF208" s="93"/>
      <c r="AG208" s="93"/>
      <c r="AH208" s="93"/>
      <c r="AI208" s="155"/>
      <c r="AJ208" s="155"/>
      <c r="AK208" s="182"/>
      <c r="AL208" s="191"/>
      <c r="AM208" s="182"/>
      <c r="AN208" s="165"/>
      <c r="AO208" s="165"/>
      <c r="AP208" s="165"/>
      <c r="AQ208" s="182"/>
      <c r="AR208" s="182"/>
      <c r="AS208" s="182"/>
      <c r="AT208" s="61"/>
      <c r="AU208" s="61"/>
      <c r="AV208" s="61"/>
      <c r="AW208" s="201"/>
      <c r="AX208" s="201"/>
      <c r="AY208" s="216"/>
      <c r="AZ208" s="216"/>
      <c r="BA208" s="216"/>
      <c r="BB208" s="216"/>
      <c r="BC208" s="2"/>
      <c r="BD208" s="2"/>
      <c r="BE208" s="2"/>
      <c r="BF208" s="2"/>
      <c r="BG208" s="2"/>
      <c r="BH208" s="2"/>
      <c r="BI208" s="2"/>
      <c r="BJ208" s="2"/>
      <c r="BK208" s="2"/>
      <c r="BL208" s="2"/>
      <c r="BM208" s="2"/>
      <c r="CI208" s="107"/>
      <c r="CJ208" s="107"/>
      <c r="CK208" s="107"/>
    </row>
    <row r="209" spans="4:89" s="28" customFormat="1" x14ac:dyDescent="0.35">
      <c r="D209" s="2"/>
      <c r="E209" s="2"/>
      <c r="F209" s="2"/>
      <c r="G209" s="2"/>
      <c r="H209" s="2"/>
      <c r="I209" s="2"/>
      <c r="J209" s="2"/>
      <c r="K209" s="2"/>
      <c r="L209" s="2"/>
      <c r="M209" s="2"/>
      <c r="N209" s="2"/>
      <c r="O209" s="2"/>
      <c r="P209" s="93"/>
      <c r="Q209" s="93"/>
      <c r="R209" s="93"/>
      <c r="S209" s="77"/>
      <c r="T209" s="77"/>
      <c r="U209" s="77"/>
      <c r="V209" s="77"/>
      <c r="W209" s="77"/>
      <c r="X209" s="182"/>
      <c r="Y209" s="182"/>
      <c r="Z209" s="182"/>
      <c r="AA209" s="61"/>
      <c r="AB209" s="61"/>
      <c r="AC209" s="61"/>
      <c r="AD209" s="61"/>
      <c r="AE209" s="61"/>
      <c r="AF209" s="93"/>
      <c r="AG209" s="93"/>
      <c r="AH209" s="93"/>
      <c r="AI209" s="155"/>
      <c r="AJ209" s="155"/>
      <c r="AK209" s="182"/>
      <c r="AL209" s="191"/>
      <c r="AM209" s="182"/>
      <c r="AN209" s="165"/>
      <c r="AO209" s="165"/>
      <c r="AP209" s="165"/>
      <c r="AQ209" s="182"/>
      <c r="AR209" s="182"/>
      <c r="AS209" s="182"/>
      <c r="AT209" s="61"/>
      <c r="AU209" s="61"/>
      <c r="AV209" s="61"/>
      <c r="AW209" s="201"/>
      <c r="AX209" s="201"/>
      <c r="AY209" s="216"/>
      <c r="AZ209" s="216"/>
      <c r="BA209" s="216"/>
      <c r="BB209" s="216"/>
      <c r="BC209" s="2"/>
      <c r="BD209" s="2"/>
      <c r="BE209" s="2"/>
      <c r="BF209" s="2"/>
      <c r="BG209" s="2"/>
      <c r="BH209" s="2"/>
      <c r="BI209" s="2"/>
      <c r="BJ209" s="2"/>
      <c r="BK209" s="2"/>
      <c r="BL209" s="2"/>
      <c r="BM209" s="2"/>
      <c r="CI209" s="107"/>
      <c r="CJ209" s="107"/>
      <c r="CK209" s="107"/>
    </row>
    <row r="210" spans="4:89" s="28" customFormat="1" x14ac:dyDescent="0.35">
      <c r="D210" s="2"/>
      <c r="E210" s="2"/>
      <c r="F210" s="2"/>
      <c r="G210" s="2"/>
      <c r="H210" s="2"/>
      <c r="I210" s="2"/>
      <c r="J210" s="2"/>
      <c r="K210" s="2"/>
      <c r="L210" s="2"/>
      <c r="M210" s="2"/>
      <c r="N210" s="2"/>
      <c r="O210" s="2"/>
      <c r="P210" s="93"/>
      <c r="Q210" s="93"/>
      <c r="R210" s="93"/>
      <c r="S210" s="77"/>
      <c r="T210" s="77"/>
      <c r="U210" s="77"/>
      <c r="V210" s="77"/>
      <c r="W210" s="77"/>
      <c r="X210" s="182"/>
      <c r="Y210" s="182"/>
      <c r="Z210" s="182"/>
      <c r="AA210" s="61"/>
      <c r="AB210" s="61"/>
      <c r="AC210" s="61"/>
      <c r="AD210" s="61"/>
      <c r="AE210" s="61"/>
      <c r="AF210" s="93"/>
      <c r="AG210" s="93"/>
      <c r="AH210" s="93"/>
      <c r="AI210" s="155"/>
      <c r="AJ210" s="155"/>
      <c r="AK210" s="182"/>
      <c r="AL210" s="191"/>
      <c r="AM210" s="182"/>
      <c r="AN210" s="165"/>
      <c r="AO210" s="165"/>
      <c r="AP210" s="165"/>
      <c r="AQ210" s="182"/>
      <c r="AR210" s="182"/>
      <c r="AS210" s="182"/>
      <c r="AT210" s="61"/>
      <c r="AU210" s="61"/>
      <c r="AV210" s="61"/>
      <c r="AW210" s="201"/>
      <c r="AX210" s="201"/>
      <c r="AY210" s="216"/>
      <c r="AZ210" s="216"/>
      <c r="BA210" s="216"/>
      <c r="BB210" s="216"/>
      <c r="BC210" s="2"/>
      <c r="BD210" s="2"/>
      <c r="BE210" s="2"/>
      <c r="BF210" s="2"/>
      <c r="BG210" s="2"/>
      <c r="BH210" s="2"/>
      <c r="BI210" s="2"/>
      <c r="BJ210" s="2"/>
      <c r="BK210" s="2"/>
      <c r="BL210" s="2"/>
      <c r="BM210" s="2"/>
      <c r="CI210" s="107"/>
      <c r="CJ210" s="107"/>
      <c r="CK210" s="107"/>
    </row>
    <row r="211" spans="4:89" s="28" customFormat="1" x14ac:dyDescent="0.35">
      <c r="D211" s="2"/>
      <c r="E211" s="2"/>
      <c r="F211" s="2"/>
      <c r="G211" s="2"/>
      <c r="H211" s="2"/>
      <c r="I211" s="2"/>
      <c r="J211" s="2"/>
      <c r="K211" s="2"/>
      <c r="L211" s="2"/>
      <c r="M211" s="2"/>
      <c r="N211" s="2"/>
      <c r="O211" s="2"/>
      <c r="P211" s="93"/>
      <c r="Q211" s="93"/>
      <c r="R211" s="93"/>
      <c r="S211" s="77"/>
      <c r="T211" s="77"/>
      <c r="U211" s="77"/>
      <c r="V211" s="77"/>
      <c r="W211" s="77"/>
      <c r="X211" s="182"/>
      <c r="Y211" s="182"/>
      <c r="Z211" s="182"/>
      <c r="AA211" s="61"/>
      <c r="AB211" s="61"/>
      <c r="AC211" s="61"/>
      <c r="AD211" s="61"/>
      <c r="AE211" s="61"/>
      <c r="AF211" s="93"/>
      <c r="AG211" s="93"/>
      <c r="AH211" s="93"/>
      <c r="AI211" s="155"/>
      <c r="AJ211" s="155"/>
      <c r="AK211" s="182"/>
      <c r="AL211" s="191"/>
      <c r="AM211" s="182"/>
      <c r="AN211" s="165"/>
      <c r="AO211" s="165"/>
      <c r="AP211" s="165"/>
      <c r="AQ211" s="182"/>
      <c r="AR211" s="182"/>
      <c r="AS211" s="182"/>
      <c r="AT211" s="61"/>
      <c r="AU211" s="61"/>
      <c r="AV211" s="61"/>
      <c r="AW211" s="201"/>
      <c r="AX211" s="201"/>
      <c r="AY211" s="216"/>
      <c r="AZ211" s="216"/>
      <c r="BA211" s="216"/>
      <c r="BB211" s="216"/>
      <c r="BC211" s="2"/>
      <c r="BD211" s="2"/>
      <c r="BE211" s="2"/>
      <c r="BF211" s="2"/>
      <c r="BG211" s="2"/>
      <c r="BH211" s="2"/>
      <c r="BI211" s="2"/>
      <c r="BJ211" s="2"/>
      <c r="BK211" s="2"/>
      <c r="BL211" s="2"/>
      <c r="BM211" s="2"/>
      <c r="CI211" s="107"/>
      <c r="CJ211" s="107"/>
      <c r="CK211" s="107"/>
    </row>
    <row r="212" spans="4:89" s="28" customFormat="1" x14ac:dyDescent="0.35">
      <c r="D212" s="2"/>
      <c r="E212" s="2"/>
      <c r="F212" s="2"/>
      <c r="G212" s="2"/>
      <c r="H212" s="2"/>
      <c r="I212" s="2"/>
      <c r="J212" s="2"/>
      <c r="K212" s="2"/>
      <c r="L212" s="2"/>
      <c r="M212" s="2"/>
      <c r="N212" s="2"/>
      <c r="O212" s="2"/>
      <c r="P212" s="93"/>
      <c r="Q212" s="93"/>
      <c r="R212" s="93"/>
      <c r="S212" s="77"/>
      <c r="T212" s="77"/>
      <c r="U212" s="77"/>
      <c r="V212" s="77"/>
      <c r="W212" s="77"/>
      <c r="X212" s="182"/>
      <c r="Y212" s="182"/>
      <c r="Z212" s="182"/>
      <c r="AA212" s="61"/>
      <c r="AB212" s="61"/>
      <c r="AC212" s="61"/>
      <c r="AD212" s="61"/>
      <c r="AE212" s="61"/>
      <c r="AF212" s="93"/>
      <c r="AG212" s="93"/>
      <c r="AH212" s="93"/>
      <c r="AI212" s="155"/>
      <c r="AJ212" s="155"/>
      <c r="AK212" s="182"/>
      <c r="AL212" s="191"/>
      <c r="AM212" s="182"/>
      <c r="AN212" s="165"/>
      <c r="AO212" s="165"/>
      <c r="AP212" s="165"/>
      <c r="AQ212" s="182"/>
      <c r="AR212" s="182"/>
      <c r="AS212" s="182"/>
      <c r="AT212" s="61"/>
      <c r="AU212" s="61"/>
      <c r="AV212" s="61"/>
      <c r="AW212" s="201"/>
      <c r="AX212" s="201"/>
      <c r="AY212" s="216"/>
      <c r="AZ212" s="216"/>
      <c r="BA212" s="216"/>
      <c r="BB212" s="216"/>
      <c r="BC212" s="2"/>
      <c r="BD212" s="2"/>
      <c r="BE212" s="2"/>
      <c r="BF212" s="2"/>
      <c r="BG212" s="2"/>
      <c r="BH212" s="2"/>
      <c r="BI212" s="2"/>
      <c r="BJ212" s="2"/>
      <c r="BK212" s="2"/>
      <c r="BL212" s="2"/>
      <c r="BM212" s="2"/>
      <c r="CI212" s="107"/>
      <c r="CJ212" s="107"/>
      <c r="CK212" s="107"/>
    </row>
    <row r="213" spans="4:89" s="28" customFormat="1" x14ac:dyDescent="0.35">
      <c r="D213" s="2"/>
      <c r="E213" s="2"/>
      <c r="F213" s="2"/>
      <c r="G213" s="2"/>
      <c r="H213" s="2"/>
      <c r="I213" s="2"/>
      <c r="J213" s="2"/>
      <c r="K213" s="2"/>
      <c r="L213" s="2"/>
      <c r="M213" s="2"/>
      <c r="N213" s="2"/>
      <c r="O213" s="2"/>
      <c r="P213" s="93"/>
      <c r="Q213" s="93"/>
      <c r="R213" s="93"/>
      <c r="S213" s="77"/>
      <c r="T213" s="77"/>
      <c r="U213" s="77"/>
      <c r="V213" s="77"/>
      <c r="W213" s="77"/>
      <c r="X213" s="182"/>
      <c r="Y213" s="182"/>
      <c r="Z213" s="182"/>
      <c r="AA213" s="61"/>
      <c r="AB213" s="61"/>
      <c r="AC213" s="61"/>
      <c r="AD213" s="61"/>
      <c r="AE213" s="61"/>
      <c r="AF213" s="93"/>
      <c r="AG213" s="93"/>
      <c r="AH213" s="93"/>
      <c r="AI213" s="155"/>
      <c r="AJ213" s="155"/>
      <c r="AK213" s="182"/>
      <c r="AL213" s="191"/>
      <c r="AM213" s="182"/>
      <c r="AN213" s="165"/>
      <c r="AO213" s="165"/>
      <c r="AP213" s="165"/>
      <c r="AQ213" s="182"/>
      <c r="AR213" s="182"/>
      <c r="AS213" s="182"/>
      <c r="AT213" s="61"/>
      <c r="AU213" s="61"/>
      <c r="AV213" s="61"/>
      <c r="AW213" s="201"/>
      <c r="AX213" s="201"/>
      <c r="AY213" s="216"/>
      <c r="AZ213" s="216"/>
      <c r="BA213" s="216"/>
      <c r="BB213" s="216"/>
      <c r="BC213" s="2"/>
      <c r="BD213" s="2"/>
      <c r="BE213" s="2"/>
      <c r="BF213" s="2"/>
      <c r="BG213" s="2"/>
      <c r="BH213" s="2"/>
      <c r="BI213" s="2"/>
      <c r="BJ213" s="2"/>
      <c r="BK213" s="2"/>
      <c r="BL213" s="2"/>
      <c r="BM213" s="2"/>
      <c r="CI213" s="107"/>
      <c r="CJ213" s="107"/>
      <c r="CK213" s="107"/>
    </row>
    <row r="214" spans="4:89" s="28" customFormat="1" x14ac:dyDescent="0.35">
      <c r="D214" s="2"/>
      <c r="E214" s="2"/>
      <c r="F214" s="2"/>
      <c r="G214" s="2"/>
      <c r="H214" s="2"/>
      <c r="I214" s="2"/>
      <c r="J214" s="2"/>
      <c r="K214" s="2"/>
      <c r="L214" s="2"/>
      <c r="M214" s="2"/>
      <c r="N214" s="2"/>
      <c r="O214" s="2"/>
      <c r="P214" s="93"/>
      <c r="Q214" s="93"/>
      <c r="R214" s="93"/>
      <c r="S214" s="77"/>
      <c r="T214" s="77"/>
      <c r="U214" s="77"/>
      <c r="V214" s="77"/>
      <c r="W214" s="77"/>
      <c r="X214" s="182"/>
      <c r="Y214" s="182"/>
      <c r="Z214" s="182"/>
      <c r="AA214" s="61"/>
      <c r="AB214" s="61"/>
      <c r="AC214" s="61"/>
      <c r="AD214" s="61"/>
      <c r="AE214" s="61"/>
      <c r="AF214" s="93"/>
      <c r="AG214" s="93"/>
      <c r="AH214" s="93"/>
      <c r="AI214" s="155"/>
      <c r="AJ214" s="155"/>
      <c r="AK214" s="182"/>
      <c r="AL214" s="191"/>
      <c r="AM214" s="182"/>
      <c r="AN214" s="165"/>
      <c r="AO214" s="165"/>
      <c r="AP214" s="165"/>
      <c r="AQ214" s="182"/>
      <c r="AR214" s="182"/>
      <c r="AS214" s="182"/>
      <c r="AT214" s="61"/>
      <c r="AU214" s="61"/>
      <c r="AV214" s="61"/>
      <c r="AW214" s="201"/>
      <c r="AX214" s="201"/>
      <c r="AY214" s="216"/>
      <c r="AZ214" s="216"/>
      <c r="BA214" s="216"/>
      <c r="BB214" s="216"/>
      <c r="BC214" s="2"/>
      <c r="BD214" s="2"/>
      <c r="BE214" s="2"/>
      <c r="BF214" s="2"/>
      <c r="BG214" s="2"/>
      <c r="BH214" s="2"/>
      <c r="BI214" s="2"/>
      <c r="BJ214" s="2"/>
      <c r="BK214" s="2"/>
      <c r="BL214" s="2"/>
      <c r="BM214" s="2"/>
      <c r="CI214" s="107"/>
      <c r="CJ214" s="107"/>
      <c r="CK214" s="107"/>
    </row>
    <row r="215" spans="4:89" s="28" customFormat="1" x14ac:dyDescent="0.35">
      <c r="D215" s="2"/>
      <c r="E215" s="2"/>
      <c r="F215" s="2"/>
      <c r="G215" s="2"/>
      <c r="H215" s="2"/>
      <c r="I215" s="2"/>
      <c r="J215" s="2"/>
      <c r="K215" s="2"/>
      <c r="L215" s="2"/>
      <c r="M215" s="2"/>
      <c r="N215" s="2"/>
      <c r="O215" s="2"/>
      <c r="P215" s="93"/>
      <c r="Q215" s="93"/>
      <c r="R215" s="93"/>
      <c r="S215" s="77"/>
      <c r="T215" s="77"/>
      <c r="U215" s="77"/>
      <c r="V215" s="77"/>
      <c r="W215" s="77"/>
      <c r="X215" s="182"/>
      <c r="Y215" s="182"/>
      <c r="Z215" s="182"/>
      <c r="AA215" s="61"/>
      <c r="AB215" s="61"/>
      <c r="AC215" s="61"/>
      <c r="AD215" s="61"/>
      <c r="AE215" s="61"/>
      <c r="AF215" s="93"/>
      <c r="AG215" s="93"/>
      <c r="AH215" s="93"/>
      <c r="AI215" s="155"/>
      <c r="AJ215" s="155"/>
      <c r="AK215" s="182"/>
      <c r="AL215" s="191"/>
      <c r="AM215" s="182"/>
      <c r="AN215" s="165"/>
      <c r="AO215" s="165"/>
      <c r="AP215" s="165"/>
      <c r="AQ215" s="182"/>
      <c r="AR215" s="182"/>
      <c r="AS215" s="182"/>
      <c r="AT215" s="61"/>
      <c r="AU215" s="61"/>
      <c r="AV215" s="61"/>
      <c r="AW215" s="201"/>
      <c r="AX215" s="201"/>
      <c r="AY215" s="216"/>
      <c r="AZ215" s="216"/>
      <c r="BA215" s="216"/>
      <c r="BB215" s="216"/>
      <c r="BC215" s="2"/>
      <c r="BD215" s="2"/>
      <c r="BE215" s="2"/>
      <c r="BF215" s="2"/>
      <c r="BG215" s="2"/>
      <c r="BH215" s="2"/>
      <c r="BI215" s="2"/>
      <c r="BJ215" s="2"/>
      <c r="BK215" s="2"/>
      <c r="BL215" s="2"/>
      <c r="BM215" s="2"/>
      <c r="CI215" s="107"/>
      <c r="CJ215" s="107"/>
      <c r="CK215" s="107"/>
    </row>
    <row r="216" spans="4:89" s="28" customFormat="1" x14ac:dyDescent="0.35">
      <c r="D216" s="2"/>
      <c r="E216" s="2"/>
      <c r="F216" s="2"/>
      <c r="G216" s="2"/>
      <c r="H216" s="2"/>
      <c r="I216" s="2"/>
      <c r="J216" s="2"/>
      <c r="K216" s="2"/>
      <c r="L216" s="2"/>
      <c r="M216" s="2"/>
      <c r="N216" s="2"/>
      <c r="O216" s="2"/>
      <c r="P216" s="93"/>
      <c r="Q216" s="93"/>
      <c r="R216" s="93"/>
      <c r="S216" s="77"/>
      <c r="T216" s="77"/>
      <c r="U216" s="77"/>
      <c r="V216" s="77"/>
      <c r="W216" s="77"/>
      <c r="X216" s="182"/>
      <c r="Y216" s="182"/>
      <c r="Z216" s="182"/>
      <c r="AA216" s="61"/>
      <c r="AB216" s="61"/>
      <c r="AC216" s="61"/>
      <c r="AD216" s="61"/>
      <c r="AE216" s="61"/>
      <c r="AF216" s="93"/>
      <c r="AG216" s="93"/>
      <c r="AH216" s="93"/>
      <c r="AI216" s="155"/>
      <c r="AJ216" s="155"/>
      <c r="AK216" s="182"/>
      <c r="AL216" s="191"/>
      <c r="AM216" s="182"/>
      <c r="AN216" s="165"/>
      <c r="AO216" s="165"/>
      <c r="AP216" s="165"/>
      <c r="AQ216" s="182"/>
      <c r="AR216" s="182"/>
      <c r="AS216" s="182"/>
      <c r="AT216" s="61"/>
      <c r="AU216" s="61"/>
      <c r="AV216" s="61"/>
      <c r="AW216" s="201"/>
      <c r="AX216" s="201"/>
      <c r="AY216" s="216"/>
      <c r="AZ216" s="216"/>
      <c r="BA216" s="216"/>
      <c r="BB216" s="216"/>
      <c r="BC216" s="2"/>
      <c r="BD216" s="2"/>
      <c r="BE216" s="2"/>
      <c r="BF216" s="2"/>
      <c r="BG216" s="2"/>
      <c r="BH216" s="2"/>
      <c r="BI216" s="2"/>
      <c r="BJ216" s="2"/>
      <c r="BK216" s="2"/>
      <c r="BL216" s="2"/>
      <c r="BM216" s="2"/>
      <c r="CI216" s="107"/>
      <c r="CJ216" s="107"/>
      <c r="CK216" s="107"/>
    </row>
    <row r="217" spans="4:89" s="28" customFormat="1" x14ac:dyDescent="0.35">
      <c r="D217" s="2"/>
      <c r="E217" s="2"/>
      <c r="F217" s="2"/>
      <c r="G217" s="2"/>
      <c r="H217" s="2"/>
      <c r="I217" s="2"/>
      <c r="J217" s="2"/>
      <c r="K217" s="2"/>
      <c r="L217" s="2"/>
      <c r="M217" s="2"/>
      <c r="N217" s="2"/>
      <c r="O217" s="2"/>
      <c r="P217" s="93"/>
      <c r="Q217" s="93"/>
      <c r="R217" s="93"/>
      <c r="S217" s="77"/>
      <c r="T217" s="77"/>
      <c r="U217" s="77"/>
      <c r="V217" s="77"/>
      <c r="W217" s="77"/>
      <c r="X217" s="182"/>
      <c r="Y217" s="182"/>
      <c r="Z217" s="182"/>
      <c r="AA217" s="61"/>
      <c r="AB217" s="61"/>
      <c r="AC217" s="61"/>
      <c r="AD217" s="61"/>
      <c r="AE217" s="61"/>
      <c r="AF217" s="93"/>
      <c r="AG217" s="93"/>
      <c r="AH217" s="93"/>
      <c r="AI217" s="155"/>
      <c r="AJ217" s="155"/>
      <c r="AK217" s="182"/>
      <c r="AL217" s="191"/>
      <c r="AM217" s="182"/>
      <c r="AN217" s="165"/>
      <c r="AO217" s="165"/>
      <c r="AP217" s="165"/>
      <c r="AQ217" s="182"/>
      <c r="AR217" s="182"/>
      <c r="AS217" s="182"/>
      <c r="AT217" s="61"/>
      <c r="AU217" s="61"/>
      <c r="AV217" s="61"/>
      <c r="AW217" s="201"/>
      <c r="AX217" s="201"/>
      <c r="AY217" s="216"/>
      <c r="AZ217" s="216"/>
      <c r="BA217" s="216"/>
      <c r="BB217" s="216"/>
      <c r="BC217" s="2"/>
      <c r="BD217" s="2"/>
      <c r="BE217" s="2"/>
      <c r="BF217" s="2"/>
      <c r="BG217" s="2"/>
      <c r="BH217" s="2"/>
      <c r="BI217" s="2"/>
      <c r="BJ217" s="2"/>
      <c r="BK217" s="2"/>
      <c r="BL217" s="2"/>
      <c r="BM217" s="2"/>
      <c r="CI217" s="107"/>
      <c r="CJ217" s="107"/>
      <c r="CK217" s="107"/>
    </row>
    <row r="218" spans="4:89" s="28" customFormat="1" x14ac:dyDescent="0.35">
      <c r="D218" s="2"/>
      <c r="E218" s="2"/>
      <c r="F218" s="2"/>
      <c r="G218" s="2"/>
      <c r="H218" s="2"/>
      <c r="I218" s="2"/>
      <c r="J218" s="2"/>
      <c r="K218" s="2"/>
      <c r="L218" s="2"/>
      <c r="M218" s="2"/>
      <c r="N218" s="2"/>
      <c r="O218" s="2"/>
      <c r="P218" s="93"/>
      <c r="Q218" s="93"/>
      <c r="R218" s="93"/>
      <c r="S218" s="77"/>
      <c r="T218" s="77"/>
      <c r="U218" s="77"/>
      <c r="V218" s="77"/>
      <c r="W218" s="77"/>
      <c r="X218" s="182"/>
      <c r="Y218" s="182"/>
      <c r="Z218" s="182"/>
      <c r="AA218" s="61"/>
      <c r="AB218" s="61"/>
      <c r="AC218" s="61"/>
      <c r="AD218" s="61"/>
      <c r="AE218" s="61"/>
      <c r="AF218" s="93"/>
      <c r="AG218" s="93"/>
      <c r="AH218" s="93"/>
      <c r="AI218" s="155"/>
      <c r="AJ218" s="155"/>
      <c r="AK218" s="182"/>
      <c r="AL218" s="191"/>
      <c r="AM218" s="182"/>
      <c r="AN218" s="165"/>
      <c r="AO218" s="165"/>
      <c r="AP218" s="165"/>
      <c r="AQ218" s="182"/>
      <c r="AR218" s="182"/>
      <c r="AS218" s="182"/>
      <c r="AT218" s="61"/>
      <c r="AU218" s="61"/>
      <c r="AV218" s="61"/>
      <c r="AW218" s="201"/>
      <c r="AX218" s="201"/>
      <c r="AY218" s="216"/>
      <c r="AZ218" s="216"/>
      <c r="BA218" s="216"/>
      <c r="BB218" s="216"/>
      <c r="BC218" s="2"/>
      <c r="BD218" s="2"/>
      <c r="BE218" s="2"/>
      <c r="BF218" s="2"/>
      <c r="BG218" s="2"/>
      <c r="BH218" s="2"/>
      <c r="BI218" s="2"/>
      <c r="BJ218" s="2"/>
      <c r="BK218" s="2"/>
      <c r="BL218" s="2"/>
      <c r="BM218" s="2"/>
      <c r="CI218" s="107"/>
      <c r="CJ218" s="107"/>
      <c r="CK218" s="107"/>
    </row>
    <row r="219" spans="4:89" s="28" customFormat="1" x14ac:dyDescent="0.35">
      <c r="D219" s="2"/>
      <c r="E219" s="2"/>
      <c r="F219" s="2"/>
      <c r="G219" s="2"/>
      <c r="H219" s="2"/>
      <c r="I219" s="2"/>
      <c r="J219" s="2"/>
      <c r="K219" s="2"/>
      <c r="L219" s="2"/>
      <c r="M219" s="2"/>
      <c r="N219" s="2"/>
      <c r="O219" s="2"/>
      <c r="P219" s="93"/>
      <c r="Q219" s="93"/>
      <c r="R219" s="93"/>
      <c r="S219" s="77"/>
      <c r="T219" s="77"/>
      <c r="U219" s="77"/>
      <c r="V219" s="77"/>
      <c r="W219" s="77"/>
      <c r="X219" s="182"/>
      <c r="Y219" s="182"/>
      <c r="Z219" s="182"/>
      <c r="AA219" s="61"/>
      <c r="AB219" s="61"/>
      <c r="AC219" s="61"/>
      <c r="AD219" s="61"/>
      <c r="AE219" s="61"/>
      <c r="AF219" s="93"/>
      <c r="AG219" s="93"/>
      <c r="AH219" s="93"/>
      <c r="AI219" s="155"/>
      <c r="AJ219" s="155"/>
      <c r="AK219" s="182"/>
      <c r="AL219" s="191"/>
      <c r="AM219" s="182"/>
      <c r="AN219" s="165"/>
      <c r="AO219" s="165"/>
      <c r="AP219" s="165"/>
      <c r="AQ219" s="182"/>
      <c r="AR219" s="182"/>
      <c r="AS219" s="182"/>
      <c r="AT219" s="61"/>
      <c r="AU219" s="61"/>
      <c r="AV219" s="61"/>
      <c r="AW219" s="201"/>
      <c r="AX219" s="201"/>
      <c r="AY219" s="216"/>
      <c r="AZ219" s="216"/>
      <c r="BA219" s="216"/>
      <c r="BB219" s="216"/>
      <c r="BC219" s="2"/>
      <c r="BD219" s="2"/>
      <c r="BE219" s="2"/>
      <c r="BF219" s="2"/>
      <c r="BG219" s="2"/>
      <c r="BH219" s="2"/>
      <c r="BI219" s="2"/>
      <c r="BJ219" s="2"/>
      <c r="BK219" s="2"/>
      <c r="BL219" s="2"/>
      <c r="BM219" s="2"/>
      <c r="CI219" s="107"/>
      <c r="CJ219" s="107"/>
      <c r="CK219" s="107"/>
    </row>
    <row r="220" spans="4:89" s="28" customFormat="1" x14ac:dyDescent="0.35">
      <c r="D220" s="2"/>
      <c r="E220" s="2"/>
      <c r="F220" s="2"/>
      <c r="G220" s="2"/>
      <c r="H220" s="2"/>
      <c r="I220" s="2"/>
      <c r="J220" s="2"/>
      <c r="K220" s="2"/>
      <c r="L220" s="2"/>
      <c r="M220" s="2"/>
      <c r="N220" s="2"/>
      <c r="O220" s="2"/>
      <c r="P220" s="93"/>
      <c r="Q220" s="93"/>
      <c r="R220" s="93"/>
      <c r="S220" s="77"/>
      <c r="T220" s="77"/>
      <c r="U220" s="77"/>
      <c r="V220" s="77"/>
      <c r="W220" s="77"/>
      <c r="X220" s="182"/>
      <c r="Y220" s="182"/>
      <c r="Z220" s="182"/>
      <c r="AA220" s="61"/>
      <c r="AB220" s="61"/>
      <c r="AC220" s="61"/>
      <c r="AD220" s="61"/>
      <c r="AE220" s="61"/>
      <c r="AF220" s="93"/>
      <c r="AG220" s="93"/>
      <c r="AH220" s="93"/>
      <c r="AI220" s="155"/>
      <c r="AJ220" s="155"/>
      <c r="AK220" s="182"/>
      <c r="AL220" s="191"/>
      <c r="AM220" s="182"/>
      <c r="AN220" s="165"/>
      <c r="AO220" s="165"/>
      <c r="AP220" s="165"/>
      <c r="AQ220" s="182"/>
      <c r="AR220" s="182"/>
      <c r="AS220" s="182"/>
      <c r="AT220" s="61"/>
      <c r="AU220" s="61"/>
      <c r="AV220" s="61"/>
      <c r="AW220" s="201"/>
      <c r="AX220" s="201"/>
      <c r="AY220" s="216"/>
      <c r="AZ220" s="216"/>
      <c r="BA220" s="216"/>
      <c r="BB220" s="216"/>
      <c r="BC220" s="2"/>
      <c r="BD220" s="2"/>
      <c r="BE220" s="2"/>
      <c r="BF220" s="2"/>
      <c r="BG220" s="2"/>
      <c r="BH220" s="2"/>
      <c r="BI220" s="2"/>
      <c r="BJ220" s="2"/>
      <c r="BK220" s="2"/>
      <c r="BL220" s="2"/>
      <c r="BM220" s="2"/>
      <c r="CI220" s="107"/>
      <c r="CJ220" s="107"/>
      <c r="CK220" s="107"/>
    </row>
    <row r="221" spans="4:89" s="28" customFormat="1" x14ac:dyDescent="0.35">
      <c r="D221" s="2"/>
      <c r="E221" s="2"/>
      <c r="F221" s="2"/>
      <c r="G221" s="2"/>
      <c r="H221" s="2"/>
      <c r="I221" s="2"/>
      <c r="J221" s="2"/>
      <c r="K221" s="2"/>
      <c r="L221" s="2"/>
      <c r="M221" s="2"/>
      <c r="N221" s="2"/>
      <c r="O221" s="2"/>
      <c r="P221" s="93"/>
      <c r="Q221" s="93"/>
      <c r="R221" s="93"/>
      <c r="S221" s="77"/>
      <c r="T221" s="77"/>
      <c r="U221" s="77"/>
      <c r="V221" s="77"/>
      <c r="W221" s="77"/>
      <c r="X221" s="182"/>
      <c r="Y221" s="182"/>
      <c r="Z221" s="182"/>
      <c r="AA221" s="61"/>
      <c r="AB221" s="61"/>
      <c r="AC221" s="61"/>
      <c r="AD221" s="61"/>
      <c r="AE221" s="61"/>
      <c r="AF221" s="93"/>
      <c r="AG221" s="93"/>
      <c r="AH221" s="93"/>
      <c r="AI221" s="155"/>
      <c r="AJ221" s="155"/>
      <c r="AK221" s="182"/>
      <c r="AL221" s="191"/>
      <c r="AM221" s="182"/>
      <c r="AN221" s="165"/>
      <c r="AO221" s="165"/>
      <c r="AP221" s="165"/>
      <c r="AQ221" s="182"/>
      <c r="AR221" s="182"/>
      <c r="AS221" s="182"/>
      <c r="AT221" s="61"/>
      <c r="AU221" s="61"/>
      <c r="AV221" s="61"/>
      <c r="AW221" s="201"/>
      <c r="AX221" s="201"/>
      <c r="AY221" s="216"/>
      <c r="AZ221" s="216"/>
      <c r="BA221" s="216"/>
      <c r="BB221" s="216"/>
      <c r="BC221" s="2"/>
      <c r="BD221" s="2"/>
      <c r="BE221" s="2"/>
      <c r="BF221" s="2"/>
      <c r="BG221" s="2"/>
      <c r="BH221" s="2"/>
      <c r="BI221" s="2"/>
      <c r="BJ221" s="2"/>
      <c r="BK221" s="2"/>
      <c r="BL221" s="2"/>
      <c r="BM221" s="2"/>
      <c r="CI221" s="107"/>
      <c r="CJ221" s="107"/>
      <c r="CK221" s="107"/>
    </row>
    <row r="222" spans="4:89" s="28" customFormat="1" x14ac:dyDescent="0.35">
      <c r="D222" s="2"/>
      <c r="E222" s="2"/>
      <c r="F222" s="2"/>
      <c r="G222" s="2"/>
      <c r="H222" s="2"/>
      <c r="I222" s="2"/>
      <c r="J222" s="2"/>
      <c r="K222" s="2"/>
      <c r="L222" s="2"/>
      <c r="M222" s="2"/>
      <c r="N222" s="2"/>
      <c r="O222" s="2"/>
      <c r="P222" s="93"/>
      <c r="Q222" s="93"/>
      <c r="R222" s="93"/>
      <c r="S222" s="77"/>
      <c r="T222" s="77"/>
      <c r="U222" s="77"/>
      <c r="V222" s="77"/>
      <c r="W222" s="77"/>
      <c r="X222" s="182"/>
      <c r="Y222" s="182"/>
      <c r="Z222" s="182"/>
      <c r="AA222" s="61"/>
      <c r="AB222" s="61"/>
      <c r="AC222" s="61"/>
      <c r="AD222" s="61"/>
      <c r="AE222" s="61"/>
      <c r="AF222" s="93"/>
      <c r="AG222" s="93"/>
      <c r="AH222" s="93"/>
      <c r="AI222" s="155"/>
      <c r="AJ222" s="155"/>
      <c r="AK222" s="182"/>
      <c r="AL222" s="191"/>
      <c r="AM222" s="182"/>
      <c r="AN222" s="165"/>
      <c r="AO222" s="165"/>
      <c r="AP222" s="165"/>
      <c r="AQ222" s="182"/>
      <c r="AR222" s="182"/>
      <c r="AS222" s="182"/>
      <c r="AT222" s="61"/>
      <c r="AU222" s="61"/>
      <c r="AV222" s="61"/>
      <c r="AW222" s="201"/>
      <c r="AX222" s="201"/>
      <c r="AY222" s="216"/>
      <c r="AZ222" s="216"/>
      <c r="BA222" s="216"/>
      <c r="BB222" s="216"/>
      <c r="BC222" s="2"/>
      <c r="BD222" s="2"/>
      <c r="BE222" s="2"/>
      <c r="BF222" s="2"/>
      <c r="BG222" s="2"/>
      <c r="BH222" s="2"/>
      <c r="BI222" s="2"/>
      <c r="BJ222" s="2"/>
      <c r="BK222" s="2"/>
      <c r="BL222" s="2"/>
      <c r="BM222" s="2"/>
      <c r="CI222" s="107"/>
      <c r="CJ222" s="107"/>
      <c r="CK222" s="107"/>
    </row>
    <row r="223" spans="4:89" s="28" customFormat="1" x14ac:dyDescent="0.35">
      <c r="D223" s="2"/>
      <c r="E223" s="2"/>
      <c r="F223" s="2"/>
      <c r="G223" s="2"/>
      <c r="H223" s="2"/>
      <c r="I223" s="2"/>
      <c r="J223" s="2"/>
      <c r="K223" s="2"/>
      <c r="L223" s="2"/>
      <c r="M223" s="2"/>
      <c r="N223" s="2"/>
      <c r="O223" s="2"/>
      <c r="P223" s="93"/>
      <c r="Q223" s="93"/>
      <c r="R223" s="93"/>
      <c r="S223" s="77"/>
      <c r="T223" s="77"/>
      <c r="U223" s="77"/>
      <c r="V223" s="77"/>
      <c r="W223" s="77"/>
      <c r="X223" s="182"/>
      <c r="Y223" s="182"/>
      <c r="Z223" s="182"/>
      <c r="AA223" s="61"/>
      <c r="AB223" s="61"/>
      <c r="AC223" s="61"/>
      <c r="AD223" s="61"/>
      <c r="AE223" s="61"/>
      <c r="AF223" s="93"/>
      <c r="AG223" s="93"/>
      <c r="AH223" s="93"/>
      <c r="AI223" s="155"/>
      <c r="AJ223" s="155"/>
      <c r="AK223" s="182"/>
      <c r="AL223" s="191"/>
      <c r="AM223" s="182"/>
      <c r="AN223" s="165"/>
      <c r="AO223" s="165"/>
      <c r="AP223" s="165"/>
      <c r="AQ223" s="182"/>
      <c r="AR223" s="182"/>
      <c r="AS223" s="182"/>
      <c r="AT223" s="61"/>
      <c r="AU223" s="61"/>
      <c r="AV223" s="61"/>
      <c r="AW223" s="201"/>
      <c r="AX223" s="201"/>
      <c r="AY223" s="216"/>
      <c r="AZ223" s="216"/>
      <c r="BA223" s="216"/>
      <c r="BB223" s="216"/>
      <c r="BC223" s="2"/>
      <c r="BD223" s="2"/>
      <c r="BE223" s="2"/>
      <c r="BF223" s="2"/>
      <c r="BG223" s="2"/>
      <c r="BH223" s="2"/>
      <c r="BI223" s="2"/>
      <c r="BJ223" s="2"/>
      <c r="BK223" s="2"/>
      <c r="BL223" s="2"/>
      <c r="BM223" s="2"/>
      <c r="CI223" s="107"/>
      <c r="CJ223" s="107"/>
      <c r="CK223" s="107"/>
    </row>
    <row r="224" spans="4:89" s="28" customFormat="1" x14ac:dyDescent="0.35">
      <c r="D224" s="2"/>
      <c r="E224" s="2"/>
      <c r="F224" s="2"/>
      <c r="G224" s="2"/>
      <c r="H224" s="2"/>
      <c r="I224" s="2"/>
      <c r="J224" s="2"/>
      <c r="K224" s="2"/>
      <c r="L224" s="2"/>
      <c r="M224" s="2"/>
      <c r="N224" s="2"/>
      <c r="O224" s="2"/>
      <c r="P224" s="93"/>
      <c r="Q224" s="93"/>
      <c r="R224" s="93"/>
      <c r="S224" s="77"/>
      <c r="T224" s="77"/>
      <c r="U224" s="77"/>
      <c r="V224" s="77"/>
      <c r="W224" s="77"/>
      <c r="X224" s="182"/>
      <c r="Y224" s="182"/>
      <c r="Z224" s="182"/>
      <c r="AA224" s="61"/>
      <c r="AB224" s="61"/>
      <c r="AC224" s="61"/>
      <c r="AD224" s="61"/>
      <c r="AE224" s="61"/>
      <c r="AF224" s="93"/>
      <c r="AG224" s="93"/>
      <c r="AH224" s="93"/>
      <c r="AI224" s="155"/>
      <c r="AJ224" s="155"/>
      <c r="AK224" s="182"/>
      <c r="AL224" s="191"/>
      <c r="AM224" s="182"/>
      <c r="AN224" s="165"/>
      <c r="AO224" s="165"/>
      <c r="AP224" s="165"/>
      <c r="AQ224" s="182"/>
      <c r="AR224" s="182"/>
      <c r="AS224" s="182"/>
      <c r="AT224" s="61"/>
      <c r="AU224" s="61"/>
      <c r="AV224" s="61"/>
      <c r="AW224" s="201"/>
      <c r="AX224" s="201"/>
      <c r="AY224" s="216"/>
      <c r="AZ224" s="216"/>
      <c r="BA224" s="216"/>
      <c r="BB224" s="216"/>
      <c r="BC224" s="2"/>
      <c r="BD224" s="2"/>
      <c r="BE224" s="2"/>
      <c r="BF224" s="2"/>
      <c r="BG224" s="2"/>
      <c r="BH224" s="2"/>
      <c r="BI224" s="2"/>
      <c r="BJ224" s="2"/>
      <c r="BK224" s="2"/>
      <c r="BL224" s="2"/>
      <c r="BM224" s="2"/>
      <c r="CI224" s="107"/>
      <c r="CJ224" s="107"/>
      <c r="CK224" s="107"/>
    </row>
    <row r="225" spans="4:89" s="28" customFormat="1" x14ac:dyDescent="0.35">
      <c r="D225" s="2"/>
      <c r="E225" s="2"/>
      <c r="F225" s="2"/>
      <c r="G225" s="2"/>
      <c r="H225" s="2"/>
      <c r="I225" s="2"/>
      <c r="J225" s="2"/>
      <c r="K225" s="2"/>
      <c r="L225" s="2"/>
      <c r="M225" s="2"/>
      <c r="N225" s="2"/>
      <c r="O225" s="2"/>
      <c r="P225" s="93"/>
      <c r="Q225" s="93"/>
      <c r="R225" s="93"/>
      <c r="S225" s="77"/>
      <c r="T225" s="77"/>
      <c r="U225" s="77"/>
      <c r="V225" s="77"/>
      <c r="W225" s="77"/>
      <c r="X225" s="182"/>
      <c r="Y225" s="182"/>
      <c r="Z225" s="182"/>
      <c r="AA225" s="61"/>
      <c r="AB225" s="61"/>
      <c r="AC225" s="61"/>
      <c r="AD225" s="61"/>
      <c r="AE225" s="61"/>
      <c r="AF225" s="93"/>
      <c r="AG225" s="93"/>
      <c r="AH225" s="93"/>
      <c r="AI225" s="155"/>
      <c r="AJ225" s="155"/>
      <c r="AK225" s="182"/>
      <c r="AL225" s="191"/>
      <c r="AM225" s="182"/>
      <c r="AN225" s="165"/>
      <c r="AO225" s="165"/>
      <c r="AP225" s="165"/>
      <c r="AQ225" s="182"/>
      <c r="AR225" s="182"/>
      <c r="AS225" s="182"/>
      <c r="AT225" s="61"/>
      <c r="AU225" s="61"/>
      <c r="AV225" s="61"/>
      <c r="AW225" s="201"/>
      <c r="AX225" s="201"/>
      <c r="AY225" s="216"/>
      <c r="AZ225" s="216"/>
      <c r="BA225" s="216"/>
      <c r="BB225" s="216"/>
      <c r="BC225" s="2"/>
      <c r="BD225" s="2"/>
      <c r="BE225" s="2"/>
      <c r="BF225" s="2"/>
      <c r="BG225" s="2"/>
      <c r="BH225" s="2"/>
      <c r="BI225" s="2"/>
      <c r="BJ225" s="2"/>
      <c r="BK225" s="2"/>
      <c r="BL225" s="2"/>
      <c r="BM225" s="2"/>
      <c r="CI225" s="107"/>
      <c r="CJ225" s="107"/>
      <c r="CK225" s="107"/>
    </row>
    <row r="226" spans="4:89" s="28" customFormat="1" x14ac:dyDescent="0.35">
      <c r="D226" s="2"/>
      <c r="E226" s="2"/>
      <c r="F226" s="2"/>
      <c r="G226" s="2"/>
      <c r="H226" s="2"/>
      <c r="I226" s="2"/>
      <c r="J226" s="2"/>
      <c r="K226" s="2"/>
      <c r="L226" s="2"/>
      <c r="M226" s="2"/>
      <c r="N226" s="2"/>
      <c r="O226" s="2"/>
      <c r="P226" s="93"/>
      <c r="Q226" s="93"/>
      <c r="R226" s="93"/>
      <c r="S226" s="77"/>
      <c r="T226" s="77"/>
      <c r="U226" s="77"/>
      <c r="V226" s="77"/>
      <c r="W226" s="77"/>
      <c r="X226" s="182"/>
      <c r="Y226" s="182"/>
      <c r="Z226" s="182"/>
      <c r="AA226" s="61"/>
      <c r="AB226" s="61"/>
      <c r="AC226" s="61"/>
      <c r="AD226" s="61"/>
      <c r="AE226" s="61"/>
      <c r="AF226" s="93"/>
      <c r="AG226" s="93"/>
      <c r="AH226" s="93"/>
      <c r="AI226" s="155"/>
      <c r="AJ226" s="155"/>
      <c r="AK226" s="182"/>
      <c r="AL226" s="191"/>
      <c r="AM226" s="182"/>
      <c r="AN226" s="165"/>
      <c r="AO226" s="165"/>
      <c r="AP226" s="165"/>
      <c r="AQ226" s="182"/>
      <c r="AR226" s="182"/>
      <c r="AS226" s="182"/>
      <c r="AT226" s="61"/>
      <c r="AU226" s="61"/>
      <c r="AV226" s="61"/>
      <c r="AW226" s="201"/>
      <c r="AX226" s="201"/>
      <c r="AY226" s="216"/>
      <c r="AZ226" s="216"/>
      <c r="BA226" s="216"/>
      <c r="BB226" s="216"/>
      <c r="BC226" s="2"/>
      <c r="BD226" s="2"/>
      <c r="BE226" s="2"/>
      <c r="BF226" s="2"/>
      <c r="BG226" s="2"/>
      <c r="BH226" s="2"/>
      <c r="BI226" s="2"/>
      <c r="BJ226" s="2"/>
      <c r="BK226" s="2"/>
      <c r="BL226" s="2"/>
      <c r="BM226" s="2"/>
      <c r="CI226" s="107"/>
      <c r="CJ226" s="107"/>
      <c r="CK226" s="107"/>
    </row>
    <row r="227" spans="4:89" s="28" customFormat="1" x14ac:dyDescent="0.35">
      <c r="D227" s="2"/>
      <c r="E227" s="2"/>
      <c r="F227" s="2"/>
      <c r="G227" s="2"/>
      <c r="H227" s="2"/>
      <c r="I227" s="2"/>
      <c r="J227" s="2"/>
      <c r="K227" s="2"/>
      <c r="L227" s="2"/>
      <c r="M227" s="2"/>
      <c r="N227" s="2"/>
      <c r="O227" s="2"/>
      <c r="P227" s="93"/>
      <c r="Q227" s="93"/>
      <c r="R227" s="93"/>
      <c r="S227" s="77"/>
      <c r="T227" s="77"/>
      <c r="U227" s="77"/>
      <c r="V227" s="77"/>
      <c r="W227" s="77"/>
      <c r="X227" s="182"/>
      <c r="Y227" s="182"/>
      <c r="Z227" s="182"/>
      <c r="AA227" s="61"/>
      <c r="AB227" s="61"/>
      <c r="AC227" s="61"/>
      <c r="AD227" s="61"/>
      <c r="AE227" s="61"/>
      <c r="AF227" s="93"/>
      <c r="AG227" s="93"/>
      <c r="AH227" s="93"/>
      <c r="AI227" s="155"/>
      <c r="AJ227" s="155"/>
      <c r="AK227" s="182"/>
      <c r="AL227" s="191"/>
      <c r="AM227" s="182"/>
      <c r="AN227" s="165"/>
      <c r="AO227" s="165"/>
      <c r="AP227" s="165"/>
      <c r="AQ227" s="182"/>
      <c r="AR227" s="182"/>
      <c r="AS227" s="182"/>
      <c r="AT227" s="61"/>
      <c r="AU227" s="61"/>
      <c r="AV227" s="61"/>
      <c r="AW227" s="201"/>
      <c r="AX227" s="201"/>
      <c r="AY227" s="216"/>
      <c r="AZ227" s="216"/>
      <c r="BA227" s="216"/>
      <c r="BB227" s="216"/>
      <c r="BC227" s="2"/>
      <c r="BD227" s="2"/>
      <c r="BE227" s="2"/>
      <c r="BF227" s="2"/>
      <c r="BG227" s="2"/>
      <c r="BH227" s="2"/>
      <c r="BI227" s="2"/>
      <c r="BJ227" s="2"/>
      <c r="BK227" s="2"/>
      <c r="BL227" s="2"/>
      <c r="BM227" s="2"/>
      <c r="CI227" s="107"/>
      <c r="CJ227" s="107"/>
      <c r="CK227" s="107"/>
    </row>
    <row r="228" spans="4:89" s="28" customFormat="1" x14ac:dyDescent="0.35">
      <c r="D228" s="2"/>
      <c r="E228" s="2"/>
      <c r="F228" s="2"/>
      <c r="G228" s="2"/>
      <c r="H228" s="2"/>
      <c r="I228" s="2"/>
      <c r="J228" s="2"/>
      <c r="K228" s="2"/>
      <c r="L228" s="2"/>
      <c r="M228" s="2"/>
      <c r="N228" s="2"/>
      <c r="O228" s="2"/>
      <c r="P228" s="93"/>
      <c r="Q228" s="93"/>
      <c r="R228" s="93"/>
      <c r="S228" s="77"/>
      <c r="T228" s="77"/>
      <c r="U228" s="77"/>
      <c r="V228" s="77"/>
      <c r="W228" s="77"/>
      <c r="X228" s="182"/>
      <c r="Y228" s="182"/>
      <c r="Z228" s="182"/>
      <c r="AA228" s="61"/>
      <c r="AB228" s="61"/>
      <c r="AC228" s="61"/>
      <c r="AD228" s="61"/>
      <c r="AE228" s="61"/>
      <c r="AF228" s="93"/>
      <c r="AG228" s="93"/>
      <c r="AH228" s="93"/>
      <c r="AI228" s="155"/>
      <c r="AJ228" s="155"/>
      <c r="AK228" s="182"/>
      <c r="AL228" s="191"/>
      <c r="AM228" s="182"/>
      <c r="AN228" s="165"/>
      <c r="AO228" s="165"/>
      <c r="AP228" s="165"/>
      <c r="AQ228" s="182"/>
      <c r="AR228" s="182"/>
      <c r="AS228" s="182"/>
      <c r="AT228" s="61"/>
      <c r="AU228" s="61"/>
      <c r="AV228" s="61"/>
      <c r="AW228" s="201"/>
      <c r="AX228" s="201"/>
      <c r="AY228" s="216"/>
      <c r="AZ228" s="216"/>
      <c r="BA228" s="216"/>
      <c r="BB228" s="216"/>
      <c r="BC228" s="2"/>
      <c r="BD228" s="2"/>
      <c r="BE228" s="2"/>
      <c r="BF228" s="2"/>
      <c r="BG228" s="2"/>
      <c r="BH228" s="2"/>
      <c r="BI228" s="2"/>
      <c r="BJ228" s="2"/>
      <c r="BK228" s="2"/>
      <c r="BL228" s="2"/>
      <c r="BM228" s="2"/>
      <c r="CI228" s="107"/>
      <c r="CJ228" s="107"/>
      <c r="CK228" s="107"/>
    </row>
    <row r="229" spans="4:89" s="28" customFormat="1" x14ac:dyDescent="0.35">
      <c r="D229" s="2"/>
      <c r="E229" s="2"/>
      <c r="F229" s="2"/>
      <c r="G229" s="2"/>
      <c r="H229" s="2"/>
      <c r="I229" s="2"/>
      <c r="J229" s="2"/>
      <c r="K229" s="2"/>
      <c r="L229" s="2"/>
      <c r="M229" s="2"/>
      <c r="N229" s="2"/>
      <c r="O229" s="2"/>
      <c r="P229" s="93"/>
      <c r="Q229" s="93"/>
      <c r="R229" s="93"/>
      <c r="S229" s="77"/>
      <c r="T229" s="77"/>
      <c r="U229" s="77"/>
      <c r="V229" s="77"/>
      <c r="W229" s="77"/>
      <c r="X229" s="182"/>
      <c r="Y229" s="182"/>
      <c r="Z229" s="182"/>
      <c r="AA229" s="61"/>
      <c r="AB229" s="61"/>
      <c r="AC229" s="61"/>
      <c r="AD229" s="61"/>
      <c r="AE229" s="61"/>
      <c r="AF229" s="93"/>
      <c r="AG229" s="93"/>
      <c r="AH229" s="93"/>
      <c r="AI229" s="155"/>
      <c r="AJ229" s="155"/>
      <c r="AK229" s="182"/>
      <c r="AL229" s="191"/>
      <c r="AM229" s="182"/>
      <c r="AN229" s="165"/>
      <c r="AO229" s="165"/>
      <c r="AP229" s="165"/>
      <c r="AQ229" s="182"/>
      <c r="AR229" s="182"/>
      <c r="AS229" s="182"/>
      <c r="AT229" s="61"/>
      <c r="AU229" s="61"/>
      <c r="AV229" s="61"/>
      <c r="AW229" s="201"/>
      <c r="AX229" s="201"/>
      <c r="AY229" s="216"/>
      <c r="AZ229" s="216"/>
      <c r="BA229" s="216"/>
      <c r="BB229" s="216"/>
      <c r="BC229" s="2"/>
      <c r="BD229" s="2"/>
      <c r="BE229" s="2"/>
      <c r="BF229" s="2"/>
      <c r="BG229" s="2"/>
      <c r="BH229" s="2"/>
      <c r="BI229" s="2"/>
      <c r="BJ229" s="2"/>
      <c r="BK229" s="2"/>
      <c r="BL229" s="2"/>
      <c r="BM229" s="2"/>
      <c r="CI229" s="107"/>
      <c r="CJ229" s="107"/>
      <c r="CK229" s="107"/>
    </row>
    <row r="230" spans="4:89" x14ac:dyDescent="0.35">
      <c r="J230" s="2"/>
      <c r="K230" s="2"/>
      <c r="L230" s="2"/>
      <c r="M230" s="2"/>
      <c r="N230" s="2"/>
      <c r="BO230" s="53"/>
      <c r="BP230" s="53"/>
      <c r="BQ230" s="53"/>
      <c r="BR230" s="53"/>
      <c r="BS230" s="53"/>
      <c r="BU230" s="53"/>
      <c r="BV230" s="53"/>
      <c r="BW230" s="53"/>
      <c r="BX230" s="53"/>
      <c r="BY230" s="53"/>
      <c r="BZ230" s="53"/>
      <c r="CA230" s="53"/>
      <c r="CC230" s="53"/>
      <c r="CD230" s="53"/>
      <c r="CE230" s="53"/>
    </row>
    <row r="231" spans="4:89" x14ac:dyDescent="0.35">
      <c r="J231" s="2"/>
      <c r="K231" s="2"/>
      <c r="L231" s="2"/>
      <c r="M231" s="2"/>
      <c r="N231" s="2"/>
      <c r="BO231" s="53"/>
      <c r="BP231" s="53"/>
      <c r="BQ231" s="53"/>
      <c r="BR231" s="53"/>
      <c r="BS231" s="53"/>
      <c r="BU231" s="53"/>
      <c r="BV231" s="53"/>
      <c r="BW231" s="53"/>
      <c r="BX231" s="53"/>
      <c r="BY231" s="53"/>
      <c r="BZ231" s="53"/>
      <c r="CA231" s="53"/>
      <c r="CC231" s="53"/>
      <c r="CD231" s="53"/>
      <c r="CE231" s="53"/>
    </row>
    <row r="232" spans="4:89" x14ac:dyDescent="0.35">
      <c r="J232" s="2"/>
      <c r="K232" s="2"/>
      <c r="L232" s="2"/>
      <c r="M232" s="2"/>
      <c r="N232" s="2"/>
      <c r="BO232" s="53"/>
      <c r="BP232" s="53"/>
      <c r="BQ232" s="53"/>
      <c r="BR232" s="53"/>
      <c r="BS232" s="53"/>
      <c r="BU232" s="53"/>
      <c r="BV232" s="53"/>
      <c r="BW232" s="53"/>
      <c r="BX232" s="53"/>
      <c r="BY232" s="53"/>
      <c r="BZ232" s="53"/>
      <c r="CA232" s="53"/>
      <c r="CC232" s="53"/>
      <c r="CD232" s="53"/>
      <c r="CE232" s="53"/>
    </row>
    <row r="233" spans="4:89" x14ac:dyDescent="0.35">
      <c r="J233" s="2"/>
      <c r="K233" s="2"/>
      <c r="L233" s="2"/>
      <c r="M233" s="2"/>
      <c r="N233" s="2"/>
      <c r="BO233" s="53"/>
      <c r="BP233" s="53"/>
      <c r="BQ233" s="53"/>
      <c r="BR233" s="53"/>
      <c r="BS233" s="53"/>
      <c r="BU233" s="53"/>
      <c r="BV233" s="53"/>
      <c r="BW233" s="53"/>
      <c r="BX233" s="53"/>
      <c r="BY233" s="53"/>
      <c r="BZ233" s="53"/>
      <c r="CA233" s="53"/>
      <c r="CC233" s="53"/>
      <c r="CD233" s="53"/>
      <c r="CE233" s="53"/>
    </row>
    <row r="234" spans="4:89" x14ac:dyDescent="0.35">
      <c r="J234" s="2"/>
      <c r="K234" s="2"/>
      <c r="L234" s="2"/>
      <c r="M234" s="2"/>
      <c r="N234" s="2"/>
      <c r="BO234" s="53"/>
      <c r="BP234" s="53"/>
      <c r="BQ234" s="53"/>
      <c r="BR234" s="53"/>
      <c r="BS234" s="53"/>
      <c r="BU234" s="53"/>
      <c r="BV234" s="53"/>
      <c r="BW234" s="53"/>
      <c r="BX234" s="53"/>
      <c r="BY234" s="53"/>
      <c r="BZ234" s="53"/>
      <c r="CA234" s="53"/>
      <c r="CC234" s="53"/>
      <c r="CD234" s="53"/>
      <c r="CE234" s="53"/>
    </row>
    <row r="235" spans="4:89" x14ac:dyDescent="0.35">
      <c r="J235" s="2"/>
      <c r="K235" s="2"/>
      <c r="L235" s="2"/>
      <c r="M235" s="2"/>
      <c r="N235" s="2"/>
      <c r="BO235" s="53"/>
      <c r="BP235" s="53"/>
      <c r="BQ235" s="53"/>
      <c r="BR235" s="53"/>
      <c r="BS235" s="53"/>
      <c r="BU235" s="53"/>
      <c r="BV235" s="53"/>
      <c r="BW235" s="53"/>
      <c r="BX235" s="53"/>
      <c r="BY235" s="53"/>
      <c r="BZ235" s="53"/>
      <c r="CA235" s="53"/>
      <c r="CC235" s="53"/>
      <c r="CD235" s="53"/>
      <c r="CE235" s="53"/>
    </row>
    <row r="236" spans="4:89" x14ac:dyDescent="0.35">
      <c r="J236" s="2"/>
      <c r="K236" s="2"/>
      <c r="L236" s="2"/>
      <c r="M236" s="2"/>
      <c r="N236" s="2"/>
      <c r="BO236" s="53"/>
      <c r="BP236" s="53"/>
      <c r="BQ236" s="53"/>
      <c r="BR236" s="53"/>
      <c r="BS236" s="53"/>
      <c r="BU236" s="53"/>
      <c r="BV236" s="53"/>
      <c r="BW236" s="53"/>
      <c r="BX236" s="53"/>
      <c r="BY236" s="53"/>
      <c r="BZ236" s="53"/>
      <c r="CA236" s="53"/>
      <c r="CC236" s="53"/>
      <c r="CD236" s="53"/>
      <c r="CE236" s="53"/>
    </row>
    <row r="237" spans="4:89" x14ac:dyDescent="0.35">
      <c r="J237" s="2"/>
      <c r="K237" s="2"/>
      <c r="L237" s="2"/>
      <c r="M237" s="2"/>
      <c r="N237" s="2"/>
      <c r="BO237" s="53"/>
      <c r="BP237" s="53"/>
      <c r="BQ237" s="53"/>
      <c r="BR237" s="53"/>
      <c r="BS237" s="53"/>
      <c r="BU237" s="53"/>
      <c r="BV237" s="53"/>
      <c r="BW237" s="53"/>
      <c r="BX237" s="53"/>
      <c r="BY237" s="53"/>
      <c r="BZ237" s="53"/>
      <c r="CA237" s="53"/>
      <c r="CC237" s="53"/>
      <c r="CD237" s="53"/>
      <c r="CE237" s="53"/>
    </row>
    <row r="238" spans="4:89" x14ac:dyDescent="0.35">
      <c r="J238" s="2"/>
      <c r="K238" s="2"/>
      <c r="L238" s="2"/>
      <c r="M238" s="2"/>
      <c r="N238" s="2"/>
      <c r="BO238" s="53"/>
      <c r="BP238" s="53"/>
      <c r="BQ238" s="53"/>
      <c r="BR238" s="53"/>
      <c r="BS238" s="53"/>
      <c r="BU238" s="53"/>
      <c r="BV238" s="53"/>
      <c r="BW238" s="53"/>
      <c r="BX238" s="53"/>
      <c r="BY238" s="53"/>
      <c r="BZ238" s="53"/>
      <c r="CA238" s="53"/>
      <c r="CC238" s="53"/>
      <c r="CD238" s="53"/>
      <c r="CE238" s="53"/>
    </row>
    <row r="239" spans="4:89" x14ac:dyDescent="0.35">
      <c r="J239" s="2"/>
      <c r="K239" s="2"/>
      <c r="L239" s="2"/>
      <c r="M239" s="2"/>
      <c r="N239" s="2"/>
      <c r="BO239" s="53"/>
      <c r="BP239" s="53"/>
      <c r="BQ239" s="53"/>
      <c r="BR239" s="53"/>
      <c r="BS239" s="53"/>
      <c r="BU239" s="53"/>
      <c r="BV239" s="53"/>
      <c r="BW239" s="53"/>
      <c r="BX239" s="53"/>
      <c r="BY239" s="53"/>
      <c r="BZ239" s="53"/>
      <c r="CA239" s="53"/>
      <c r="CC239" s="53"/>
      <c r="CD239" s="53"/>
      <c r="CE239" s="53"/>
    </row>
    <row r="240" spans="4:89" x14ac:dyDescent="0.35">
      <c r="J240" s="2"/>
      <c r="K240" s="2"/>
      <c r="L240" s="2"/>
      <c r="M240" s="2"/>
      <c r="N240" s="2"/>
      <c r="BO240" s="53"/>
      <c r="BP240" s="53"/>
      <c r="BQ240" s="53"/>
      <c r="BR240" s="53"/>
      <c r="BS240" s="53"/>
      <c r="BU240" s="53"/>
      <c r="BV240" s="53"/>
      <c r="BW240" s="53"/>
      <c r="BX240" s="53"/>
      <c r="BY240" s="53"/>
      <c r="BZ240" s="53"/>
      <c r="CA240" s="53"/>
      <c r="CC240" s="53"/>
      <c r="CD240" s="53"/>
      <c r="CE240" s="53"/>
    </row>
    <row r="241" spans="10:83" x14ac:dyDescent="0.35">
      <c r="J241" s="2"/>
      <c r="K241" s="2"/>
      <c r="L241" s="2"/>
      <c r="M241" s="2"/>
      <c r="N241" s="2"/>
      <c r="BO241" s="53"/>
      <c r="BP241" s="53"/>
      <c r="BQ241" s="53"/>
      <c r="BR241" s="53"/>
      <c r="BS241" s="53"/>
      <c r="BU241" s="53"/>
      <c r="BV241" s="53"/>
      <c r="BW241" s="53"/>
      <c r="BX241" s="53"/>
      <c r="BY241" s="53"/>
      <c r="BZ241" s="53"/>
      <c r="CA241" s="53"/>
      <c r="CC241" s="53"/>
      <c r="CD241" s="53"/>
      <c r="CE241" s="53"/>
    </row>
    <row r="242" spans="10:83" x14ac:dyDescent="0.35">
      <c r="J242" s="2"/>
      <c r="K242" s="2"/>
      <c r="L242" s="2"/>
      <c r="M242" s="2"/>
      <c r="N242" s="2"/>
      <c r="BO242" s="53"/>
      <c r="BP242" s="53"/>
      <c r="BQ242" s="53"/>
      <c r="BR242" s="53"/>
      <c r="BS242" s="53"/>
      <c r="BU242" s="53"/>
      <c r="BV242" s="53"/>
      <c r="BW242" s="53"/>
      <c r="BX242" s="53"/>
      <c r="BY242" s="53"/>
      <c r="BZ242" s="53"/>
      <c r="CA242" s="53"/>
      <c r="CC242" s="53"/>
      <c r="CD242" s="53"/>
      <c r="CE242" s="53"/>
    </row>
    <row r="243" spans="10:83" x14ac:dyDescent="0.35">
      <c r="J243" s="2"/>
      <c r="K243" s="2"/>
      <c r="L243" s="2"/>
      <c r="M243" s="2"/>
      <c r="N243" s="2"/>
      <c r="BO243" s="53"/>
      <c r="BP243" s="53"/>
      <c r="BQ243" s="53"/>
      <c r="BR243" s="53"/>
      <c r="BS243" s="53"/>
      <c r="BU243" s="53"/>
      <c r="BV243" s="53"/>
      <c r="BW243" s="53"/>
      <c r="BX243" s="53"/>
      <c r="BY243" s="53"/>
      <c r="BZ243" s="53"/>
      <c r="CA243" s="53"/>
      <c r="CC243" s="53"/>
      <c r="CD243" s="53"/>
      <c r="CE243" s="53"/>
    </row>
    <row r="244" spans="10:83" x14ac:dyDescent="0.35">
      <c r="J244" s="2"/>
      <c r="K244" s="2"/>
      <c r="L244" s="2"/>
      <c r="M244" s="2"/>
      <c r="N244" s="2"/>
      <c r="BO244" s="53"/>
      <c r="BP244" s="53"/>
      <c r="BQ244" s="53"/>
      <c r="BR244" s="53"/>
      <c r="BS244" s="53"/>
      <c r="BU244" s="53"/>
      <c r="BV244" s="53"/>
      <c r="BW244" s="53"/>
      <c r="BX244" s="53"/>
      <c r="BY244" s="53"/>
      <c r="BZ244" s="53"/>
      <c r="CA244" s="53"/>
      <c r="CC244" s="53"/>
      <c r="CD244" s="53"/>
      <c r="CE244" s="53"/>
    </row>
    <row r="245" spans="10:83" x14ac:dyDescent="0.35">
      <c r="J245" s="2"/>
      <c r="K245" s="2"/>
      <c r="L245" s="2"/>
      <c r="M245" s="2"/>
      <c r="N245" s="2"/>
      <c r="BO245" s="53"/>
      <c r="BP245" s="53"/>
      <c r="BQ245" s="53"/>
      <c r="BR245" s="53"/>
      <c r="BS245" s="53"/>
      <c r="BU245" s="53"/>
      <c r="BV245" s="53"/>
      <c r="BW245" s="53"/>
      <c r="BX245" s="53"/>
      <c r="BY245" s="53"/>
      <c r="BZ245" s="53"/>
      <c r="CA245" s="53"/>
      <c r="CC245" s="53"/>
      <c r="CD245" s="53"/>
      <c r="CE245" s="53"/>
    </row>
    <row r="246" spans="10:83" x14ac:dyDescent="0.35">
      <c r="J246" s="2"/>
      <c r="K246" s="2"/>
      <c r="L246" s="2"/>
      <c r="M246" s="2"/>
      <c r="N246" s="2"/>
      <c r="BO246" s="53"/>
      <c r="BP246" s="53"/>
      <c r="BQ246" s="53"/>
      <c r="BR246" s="53"/>
      <c r="BS246" s="53"/>
      <c r="BU246" s="53"/>
      <c r="BV246" s="53"/>
      <c r="BW246" s="53"/>
      <c r="BX246" s="53"/>
      <c r="BY246" s="53"/>
      <c r="BZ246" s="53"/>
      <c r="CA246" s="53"/>
      <c r="CC246" s="53"/>
      <c r="CD246" s="53"/>
      <c r="CE246" s="53"/>
    </row>
    <row r="247" spans="10:83" x14ac:dyDescent="0.35">
      <c r="J247" s="2"/>
      <c r="K247" s="2"/>
      <c r="L247" s="2"/>
      <c r="M247" s="2"/>
      <c r="N247" s="2"/>
      <c r="BO247" s="53"/>
      <c r="BP247" s="53"/>
      <c r="BQ247" s="53"/>
      <c r="BR247" s="53"/>
      <c r="BS247" s="53"/>
      <c r="BU247" s="53"/>
      <c r="BV247" s="53"/>
      <c r="BW247" s="53"/>
      <c r="BX247" s="53"/>
      <c r="BY247" s="53"/>
      <c r="BZ247" s="53"/>
      <c r="CA247" s="53"/>
      <c r="CC247" s="53"/>
      <c r="CD247" s="53"/>
      <c r="CE247" s="53"/>
    </row>
    <row r="248" spans="10:83" x14ac:dyDescent="0.35">
      <c r="J248" s="2"/>
      <c r="K248" s="2"/>
      <c r="L248" s="2"/>
      <c r="M248" s="2"/>
      <c r="N248" s="2"/>
      <c r="BO248" s="53"/>
      <c r="BP248" s="53"/>
      <c r="BQ248" s="53"/>
      <c r="BR248" s="53"/>
      <c r="BS248" s="53"/>
      <c r="BU248" s="53"/>
      <c r="BV248" s="53"/>
      <c r="BW248" s="53"/>
      <c r="BX248" s="53"/>
      <c r="BY248" s="53"/>
      <c r="BZ248" s="53"/>
      <c r="CA248" s="53"/>
      <c r="CC248" s="53"/>
      <c r="CD248" s="53"/>
      <c r="CE248" s="53"/>
    </row>
    <row r="249" spans="10:83" x14ac:dyDescent="0.35">
      <c r="J249" s="2"/>
      <c r="K249" s="2"/>
      <c r="L249" s="2"/>
      <c r="M249" s="2"/>
      <c r="N249" s="2"/>
      <c r="BO249" s="53"/>
      <c r="BP249" s="53"/>
      <c r="BQ249" s="53"/>
      <c r="BR249" s="53"/>
      <c r="BS249" s="53"/>
      <c r="BU249" s="53"/>
      <c r="BV249" s="53"/>
      <c r="BW249" s="53"/>
      <c r="BX249" s="53"/>
      <c r="BY249" s="53"/>
      <c r="BZ249" s="53"/>
      <c r="CA249" s="53"/>
      <c r="CC249" s="53"/>
      <c r="CD249" s="53"/>
      <c r="CE249" s="53"/>
    </row>
    <row r="250" spans="10:83" x14ac:dyDescent="0.35">
      <c r="J250" s="2"/>
      <c r="K250" s="2"/>
      <c r="L250" s="2"/>
      <c r="M250" s="2"/>
      <c r="N250" s="2"/>
      <c r="BO250" s="53"/>
      <c r="BP250" s="53"/>
      <c r="BQ250" s="53"/>
      <c r="BR250" s="53"/>
      <c r="BS250" s="53"/>
      <c r="BU250" s="53"/>
      <c r="BV250" s="53"/>
      <c r="BW250" s="53"/>
      <c r="BX250" s="53"/>
      <c r="BY250" s="53"/>
      <c r="BZ250" s="53"/>
      <c r="CA250" s="53"/>
      <c r="CC250" s="53"/>
      <c r="CD250" s="53"/>
      <c r="CE250" s="53"/>
    </row>
    <row r="251" spans="10:83" x14ac:dyDescent="0.35">
      <c r="J251" s="2"/>
      <c r="K251" s="2"/>
      <c r="L251" s="2"/>
      <c r="M251" s="2"/>
      <c r="N251" s="2"/>
      <c r="BO251" s="53"/>
      <c r="BP251" s="53"/>
      <c r="BQ251" s="53"/>
      <c r="BR251" s="53"/>
      <c r="BS251" s="53"/>
      <c r="BU251" s="53"/>
      <c r="BV251" s="53"/>
      <c r="BW251" s="53"/>
      <c r="BX251" s="53"/>
      <c r="BY251" s="53"/>
      <c r="BZ251" s="53"/>
      <c r="CA251" s="53"/>
      <c r="CC251" s="53"/>
      <c r="CD251" s="53"/>
      <c r="CE251" s="53"/>
    </row>
    <row r="252" spans="10:83" x14ac:dyDescent="0.35">
      <c r="J252" s="2"/>
      <c r="K252" s="2"/>
      <c r="L252" s="2"/>
      <c r="M252" s="2"/>
      <c r="N252" s="2"/>
      <c r="BO252" s="53"/>
      <c r="BP252" s="53"/>
      <c r="BQ252" s="53"/>
      <c r="BR252" s="53"/>
      <c r="BS252" s="53"/>
      <c r="BU252" s="53"/>
      <c r="BV252" s="53"/>
      <c r="BW252" s="53"/>
      <c r="BX252" s="53"/>
      <c r="BY252" s="53"/>
      <c r="BZ252" s="53"/>
      <c r="CA252" s="53"/>
      <c r="CC252" s="53"/>
      <c r="CD252" s="53"/>
      <c r="CE252" s="53"/>
    </row>
    <row r="253" spans="10:83" x14ac:dyDescent="0.35">
      <c r="J253" s="2"/>
      <c r="K253" s="2"/>
      <c r="L253" s="2"/>
      <c r="M253" s="2"/>
      <c r="N253" s="2"/>
      <c r="BO253" s="53"/>
      <c r="BP253" s="53"/>
      <c r="BQ253" s="53"/>
      <c r="BR253" s="53"/>
      <c r="BS253" s="53"/>
      <c r="BU253" s="53"/>
      <c r="BV253" s="53"/>
      <c r="BW253" s="53"/>
      <c r="BX253" s="53"/>
      <c r="BY253" s="53"/>
      <c r="BZ253" s="53"/>
      <c r="CA253" s="53"/>
      <c r="CC253" s="53"/>
      <c r="CD253" s="53"/>
      <c r="CE253" s="53"/>
    </row>
    <row r="254" spans="10:83" x14ac:dyDescent="0.35">
      <c r="J254" s="2"/>
      <c r="K254" s="2"/>
      <c r="L254" s="2"/>
      <c r="M254" s="2"/>
      <c r="N254" s="2"/>
      <c r="BO254" s="53"/>
      <c r="BP254" s="53"/>
      <c r="BQ254" s="53"/>
      <c r="BR254" s="53"/>
      <c r="BS254" s="53"/>
      <c r="BU254" s="53"/>
      <c r="BV254" s="53"/>
      <c r="BW254" s="53"/>
      <c r="BX254" s="53"/>
      <c r="BY254" s="53"/>
      <c r="BZ254" s="53"/>
      <c r="CA254" s="53"/>
      <c r="CC254" s="53"/>
      <c r="CD254" s="53"/>
      <c r="CE254" s="53"/>
    </row>
    <row r="255" spans="10:83" x14ac:dyDescent="0.35">
      <c r="J255" s="2"/>
      <c r="K255" s="2"/>
      <c r="L255" s="2"/>
      <c r="M255" s="2"/>
      <c r="N255" s="2"/>
      <c r="BO255" s="53"/>
      <c r="BP255" s="53"/>
      <c r="BQ255" s="53"/>
      <c r="BR255" s="53"/>
      <c r="BS255" s="53"/>
      <c r="BU255" s="53"/>
      <c r="BV255" s="53"/>
      <c r="BW255" s="53"/>
      <c r="BX255" s="53"/>
      <c r="BY255" s="53"/>
      <c r="BZ255" s="53"/>
      <c r="CA255" s="53"/>
      <c r="CC255" s="53"/>
      <c r="CD255" s="53"/>
      <c r="CE255" s="53"/>
    </row>
    <row r="256" spans="10:83" x14ac:dyDescent="0.35">
      <c r="J256" s="2"/>
      <c r="K256" s="2"/>
      <c r="L256" s="2"/>
      <c r="M256" s="2"/>
      <c r="N256" s="2"/>
      <c r="BO256" s="53"/>
      <c r="BP256" s="53"/>
      <c r="BQ256" s="53"/>
      <c r="BR256" s="53"/>
      <c r="BS256" s="53"/>
      <c r="BU256" s="53"/>
      <c r="BV256" s="53"/>
      <c r="BW256" s="53"/>
      <c r="BX256" s="53"/>
      <c r="BY256" s="53"/>
      <c r="BZ256" s="53"/>
      <c r="CA256" s="53"/>
      <c r="CC256" s="53"/>
      <c r="CD256" s="53"/>
      <c r="CE256" s="53"/>
    </row>
    <row r="257" spans="10:83" x14ac:dyDescent="0.35">
      <c r="J257" s="2"/>
      <c r="K257" s="2"/>
      <c r="L257" s="2"/>
      <c r="M257" s="2"/>
      <c r="N257" s="2"/>
      <c r="BO257" s="53"/>
      <c r="BP257" s="53"/>
      <c r="BQ257" s="53"/>
      <c r="BR257" s="53"/>
      <c r="BS257" s="53"/>
      <c r="BU257" s="53"/>
      <c r="BV257" s="53"/>
      <c r="BW257" s="53"/>
      <c r="BX257" s="53"/>
      <c r="BY257" s="53"/>
      <c r="BZ257" s="53"/>
      <c r="CA257" s="53"/>
      <c r="CC257" s="53"/>
      <c r="CD257" s="53"/>
      <c r="CE257" s="53"/>
    </row>
    <row r="258" spans="10:83" x14ac:dyDescent="0.35">
      <c r="J258" s="2"/>
      <c r="K258" s="2"/>
      <c r="L258" s="2"/>
      <c r="M258" s="2"/>
      <c r="N258" s="2"/>
      <c r="BO258" s="53"/>
      <c r="BP258" s="53"/>
      <c r="BQ258" s="53"/>
      <c r="BR258" s="53"/>
      <c r="BS258" s="53"/>
      <c r="BU258" s="53"/>
      <c r="BV258" s="53"/>
      <c r="BW258" s="53"/>
      <c r="BX258" s="53"/>
      <c r="BY258" s="53"/>
      <c r="BZ258" s="53"/>
      <c r="CA258" s="53"/>
      <c r="CC258" s="53"/>
      <c r="CD258" s="53"/>
      <c r="CE258" s="53"/>
    </row>
    <row r="259" spans="10:83" x14ac:dyDescent="0.35">
      <c r="J259" s="2"/>
      <c r="K259" s="2"/>
      <c r="L259" s="2"/>
      <c r="M259" s="2"/>
      <c r="N259" s="2"/>
      <c r="BO259" s="53"/>
      <c r="BP259" s="53"/>
      <c r="BQ259" s="53"/>
      <c r="BR259" s="53"/>
      <c r="BS259" s="53"/>
      <c r="BU259" s="53"/>
      <c r="BV259" s="53"/>
      <c r="BW259" s="53"/>
      <c r="BX259" s="53"/>
      <c r="BY259" s="53"/>
      <c r="BZ259" s="53"/>
      <c r="CA259" s="53"/>
      <c r="CC259" s="53"/>
      <c r="CD259" s="53"/>
      <c r="CE259" s="53"/>
    </row>
    <row r="260" spans="10:83" x14ac:dyDescent="0.35">
      <c r="J260" s="2"/>
      <c r="K260" s="2"/>
      <c r="L260" s="2"/>
      <c r="M260" s="2"/>
      <c r="N260" s="2"/>
      <c r="BO260" s="53"/>
      <c r="BP260" s="53"/>
      <c r="BQ260" s="53"/>
      <c r="BR260" s="53"/>
      <c r="BS260" s="53"/>
      <c r="BU260" s="53"/>
      <c r="BV260" s="53"/>
      <c r="BW260" s="53"/>
      <c r="BX260" s="53"/>
      <c r="BY260" s="53"/>
      <c r="BZ260" s="53"/>
      <c r="CA260" s="53"/>
      <c r="CC260" s="53"/>
      <c r="CD260" s="53"/>
      <c r="CE260" s="53"/>
    </row>
    <row r="261" spans="10:83" x14ac:dyDescent="0.35">
      <c r="J261" s="2"/>
      <c r="K261" s="2"/>
      <c r="L261" s="2"/>
      <c r="M261" s="2"/>
      <c r="N261" s="2"/>
      <c r="BO261" s="53"/>
      <c r="BP261" s="53"/>
      <c r="BQ261" s="53"/>
      <c r="BR261" s="53"/>
      <c r="BS261" s="53"/>
      <c r="BU261" s="53"/>
      <c r="BV261" s="53"/>
      <c r="BW261" s="53"/>
      <c r="BX261" s="53"/>
      <c r="BY261" s="53"/>
      <c r="BZ261" s="53"/>
      <c r="CA261" s="53"/>
      <c r="CC261" s="53"/>
      <c r="CD261" s="53"/>
      <c r="CE261" s="53"/>
    </row>
    <row r="262" spans="10:83" x14ac:dyDescent="0.35">
      <c r="J262" s="2"/>
      <c r="K262" s="2"/>
      <c r="L262" s="2"/>
      <c r="M262" s="2"/>
      <c r="N262" s="2"/>
      <c r="BO262" s="53"/>
      <c r="BP262" s="53"/>
      <c r="BQ262" s="53"/>
      <c r="BR262" s="53"/>
      <c r="BS262" s="53"/>
      <c r="BU262" s="53"/>
      <c r="BV262" s="53"/>
      <c r="BW262" s="53"/>
      <c r="BX262" s="53"/>
      <c r="BY262" s="53"/>
      <c r="BZ262" s="53"/>
      <c r="CA262" s="53"/>
      <c r="CC262" s="53"/>
      <c r="CD262" s="53"/>
      <c r="CE262" s="53"/>
    </row>
    <row r="263" spans="10:83" x14ac:dyDescent="0.35">
      <c r="J263" s="2"/>
      <c r="K263" s="2"/>
      <c r="L263" s="2"/>
      <c r="M263" s="2"/>
      <c r="N263" s="2"/>
      <c r="BO263" s="53"/>
      <c r="BP263" s="53"/>
      <c r="BQ263" s="53"/>
      <c r="BR263" s="53"/>
      <c r="BS263" s="53"/>
      <c r="BU263" s="53"/>
      <c r="BV263" s="53"/>
      <c r="BW263" s="53"/>
      <c r="BX263" s="53"/>
      <c r="BY263" s="53"/>
      <c r="BZ263" s="53"/>
      <c r="CA263" s="53"/>
      <c r="CC263" s="53"/>
      <c r="CD263" s="53"/>
      <c r="CE263" s="53"/>
    </row>
    <row r="264" spans="10:83" x14ac:dyDescent="0.35">
      <c r="J264" s="2"/>
      <c r="K264" s="2"/>
      <c r="L264" s="2"/>
      <c r="M264" s="2"/>
      <c r="N264" s="2"/>
      <c r="BO264" s="53"/>
      <c r="BP264" s="53"/>
      <c r="BQ264" s="53"/>
      <c r="BR264" s="53"/>
      <c r="BS264" s="53"/>
      <c r="BU264" s="53"/>
      <c r="BV264" s="53"/>
      <c r="BW264" s="53"/>
      <c r="BX264" s="53"/>
      <c r="BY264" s="53"/>
      <c r="BZ264" s="53"/>
      <c r="CA264" s="53"/>
      <c r="CC264" s="53"/>
      <c r="CD264" s="53"/>
      <c r="CE264" s="53"/>
    </row>
    <row r="265" spans="10:83" x14ac:dyDescent="0.35">
      <c r="J265" s="2"/>
      <c r="K265" s="2"/>
      <c r="L265" s="2"/>
      <c r="M265" s="2"/>
      <c r="N265" s="2"/>
      <c r="BO265" s="53"/>
      <c r="BP265" s="53"/>
      <c r="BQ265" s="53"/>
      <c r="BR265" s="53"/>
      <c r="BS265" s="53"/>
      <c r="BU265" s="53"/>
      <c r="BV265" s="53"/>
      <c r="BW265" s="53"/>
      <c r="BX265" s="53"/>
      <c r="BY265" s="53"/>
      <c r="BZ265" s="53"/>
      <c r="CA265" s="53"/>
      <c r="CC265" s="53"/>
      <c r="CD265" s="53"/>
      <c r="CE265" s="53"/>
    </row>
    <row r="266" spans="10:83" x14ac:dyDescent="0.35">
      <c r="J266" s="2"/>
      <c r="K266" s="2"/>
      <c r="L266" s="2"/>
      <c r="M266" s="2"/>
      <c r="N266" s="2"/>
      <c r="BO266" s="53"/>
      <c r="BP266" s="53"/>
      <c r="BQ266" s="53"/>
      <c r="BR266" s="53"/>
      <c r="BS266" s="53"/>
      <c r="BU266" s="53"/>
      <c r="BV266" s="53"/>
      <c r="BW266" s="53"/>
      <c r="BX266" s="53"/>
      <c r="BY266" s="53"/>
      <c r="BZ266" s="53"/>
      <c r="CA266" s="53"/>
      <c r="CC266" s="53"/>
      <c r="CD266" s="53"/>
      <c r="CE266" s="53"/>
    </row>
    <row r="267" spans="10:83" x14ac:dyDescent="0.35">
      <c r="J267" s="2"/>
      <c r="K267" s="2"/>
      <c r="L267" s="2"/>
      <c r="M267" s="2"/>
      <c r="N267" s="2"/>
      <c r="BO267" s="53"/>
      <c r="BP267" s="53"/>
      <c r="BQ267" s="53"/>
      <c r="BR267" s="53"/>
      <c r="BS267" s="53"/>
      <c r="BU267" s="53"/>
      <c r="BV267" s="53"/>
      <c r="BW267" s="53"/>
      <c r="BX267" s="53"/>
      <c r="BY267" s="53"/>
      <c r="BZ267" s="53"/>
      <c r="CA267" s="53"/>
      <c r="CC267" s="53"/>
      <c r="CD267" s="53"/>
      <c r="CE267" s="53"/>
    </row>
    <row r="268" spans="10:83" x14ac:dyDescent="0.35">
      <c r="J268" s="2"/>
      <c r="K268" s="2"/>
      <c r="L268" s="2"/>
      <c r="M268" s="2"/>
      <c r="N268" s="2"/>
      <c r="BO268" s="53"/>
      <c r="BP268" s="53"/>
      <c r="BQ268" s="53"/>
      <c r="BR268" s="53"/>
      <c r="BS268" s="53"/>
      <c r="BU268" s="53"/>
      <c r="BV268" s="53"/>
      <c r="BW268" s="53"/>
      <c r="BX268" s="53"/>
      <c r="BY268" s="53"/>
      <c r="BZ268" s="53"/>
      <c r="CA268" s="53"/>
      <c r="CC268" s="53"/>
      <c r="CD268" s="53"/>
      <c r="CE268" s="53"/>
    </row>
    <row r="269" spans="10:83" x14ac:dyDescent="0.35">
      <c r="J269" s="2"/>
      <c r="K269" s="2"/>
      <c r="L269" s="2"/>
      <c r="M269" s="2"/>
      <c r="N269" s="2"/>
      <c r="BO269" s="53"/>
      <c r="BP269" s="53"/>
      <c r="BQ269" s="53"/>
      <c r="BR269" s="53"/>
      <c r="BS269" s="53"/>
      <c r="BU269" s="53"/>
      <c r="BV269" s="53"/>
      <c r="BW269" s="53"/>
      <c r="BX269" s="53"/>
      <c r="BY269" s="53"/>
      <c r="BZ269" s="53"/>
      <c r="CA269" s="53"/>
      <c r="CC269" s="53"/>
      <c r="CD269" s="53"/>
      <c r="CE269" s="53"/>
    </row>
    <row r="270" spans="10:83" x14ac:dyDescent="0.35">
      <c r="J270" s="2"/>
      <c r="K270" s="2"/>
      <c r="L270" s="2"/>
      <c r="M270" s="2"/>
      <c r="N270" s="2"/>
      <c r="BO270" s="53"/>
      <c r="BP270" s="53"/>
      <c r="BQ270" s="53"/>
      <c r="BR270" s="53"/>
      <c r="BS270" s="53"/>
      <c r="BU270" s="53"/>
      <c r="BV270" s="53"/>
      <c r="BW270" s="53"/>
      <c r="BX270" s="53"/>
      <c r="BY270" s="53"/>
      <c r="BZ270" s="53"/>
      <c r="CA270" s="53"/>
      <c r="CC270" s="53"/>
      <c r="CD270" s="53"/>
      <c r="CE270" s="53"/>
    </row>
    <row r="271" spans="10:83" x14ac:dyDescent="0.35">
      <c r="J271" s="2"/>
      <c r="K271" s="2"/>
      <c r="L271" s="2"/>
      <c r="M271" s="2"/>
      <c r="N271" s="2"/>
      <c r="BO271" s="53"/>
      <c r="BP271" s="53"/>
      <c r="BQ271" s="53"/>
      <c r="BR271" s="53"/>
      <c r="BS271" s="53"/>
      <c r="BU271" s="53"/>
      <c r="BV271" s="53"/>
      <c r="BW271" s="53"/>
      <c r="BX271" s="53"/>
      <c r="BY271" s="53"/>
      <c r="BZ271" s="53"/>
      <c r="CA271" s="53"/>
      <c r="CC271" s="53"/>
      <c r="CD271" s="53"/>
      <c r="CE271" s="53"/>
    </row>
    <row r="272" spans="10:83" x14ac:dyDescent="0.35">
      <c r="J272" s="2"/>
      <c r="K272" s="2"/>
      <c r="L272" s="2"/>
      <c r="M272" s="2"/>
      <c r="N272" s="2"/>
      <c r="BO272" s="53"/>
      <c r="BP272" s="53"/>
      <c r="BQ272" s="53"/>
      <c r="BR272" s="53"/>
      <c r="BS272" s="53"/>
      <c r="BU272" s="53"/>
      <c r="BV272" s="53"/>
      <c r="BW272" s="53"/>
      <c r="BX272" s="53"/>
      <c r="BY272" s="53"/>
      <c r="BZ272" s="53"/>
      <c r="CA272" s="53"/>
      <c r="CC272" s="53"/>
      <c r="CD272" s="53"/>
      <c r="CE272" s="53"/>
    </row>
    <row r="273" spans="10:83" x14ac:dyDescent="0.35">
      <c r="J273" s="2"/>
      <c r="K273" s="2"/>
      <c r="L273" s="2"/>
      <c r="M273" s="2"/>
      <c r="N273" s="2"/>
      <c r="BO273" s="53"/>
      <c r="BP273" s="53"/>
      <c r="BQ273" s="53"/>
      <c r="BR273" s="53"/>
      <c r="BS273" s="53"/>
      <c r="BU273" s="53"/>
      <c r="BV273" s="53"/>
      <c r="BW273" s="53"/>
      <c r="BX273" s="53"/>
      <c r="BY273" s="53"/>
      <c r="BZ273" s="53"/>
      <c r="CA273" s="53"/>
      <c r="CC273" s="53"/>
      <c r="CD273" s="53"/>
      <c r="CE273" s="53"/>
    </row>
    <row r="274" spans="10:83" x14ac:dyDescent="0.35">
      <c r="J274" s="2"/>
      <c r="K274" s="2"/>
      <c r="L274" s="2"/>
      <c r="M274" s="2"/>
      <c r="N274" s="2"/>
      <c r="BO274" s="53"/>
      <c r="BP274" s="53"/>
      <c r="BQ274" s="53"/>
      <c r="BR274" s="53"/>
      <c r="BS274" s="53"/>
      <c r="BU274" s="53"/>
      <c r="BV274" s="53"/>
      <c r="BW274" s="53"/>
      <c r="BX274" s="53"/>
      <c r="BY274" s="53"/>
      <c r="BZ274" s="53"/>
      <c r="CA274" s="53"/>
      <c r="CC274" s="53"/>
      <c r="CD274" s="53"/>
      <c r="CE274" s="53"/>
    </row>
    <row r="275" spans="10:83" x14ac:dyDescent="0.35">
      <c r="J275" s="2"/>
      <c r="K275" s="2"/>
      <c r="L275" s="2"/>
      <c r="M275" s="2"/>
      <c r="N275" s="2"/>
      <c r="BO275" s="53"/>
      <c r="BP275" s="53"/>
      <c r="BQ275" s="53"/>
      <c r="BR275" s="53"/>
      <c r="BS275" s="53"/>
      <c r="BU275" s="53"/>
      <c r="BV275" s="53"/>
      <c r="BW275" s="53"/>
      <c r="BX275" s="53"/>
      <c r="BY275" s="53"/>
      <c r="BZ275" s="53"/>
      <c r="CA275" s="53"/>
      <c r="CC275" s="53"/>
      <c r="CD275" s="53"/>
      <c r="CE275" s="53"/>
    </row>
    <row r="276" spans="10:83" x14ac:dyDescent="0.35">
      <c r="J276" s="2"/>
      <c r="K276" s="2"/>
      <c r="L276" s="2"/>
      <c r="M276" s="2"/>
      <c r="N276" s="2"/>
      <c r="BO276" s="53"/>
      <c r="BP276" s="53"/>
      <c r="BQ276" s="53"/>
      <c r="BR276" s="53"/>
      <c r="BS276" s="53"/>
      <c r="BU276" s="53"/>
      <c r="BV276" s="53"/>
      <c r="BW276" s="53"/>
      <c r="BX276" s="53"/>
      <c r="BY276" s="53"/>
      <c r="BZ276" s="53"/>
      <c r="CA276" s="53"/>
      <c r="CC276" s="53"/>
      <c r="CD276" s="53"/>
      <c r="CE276" s="53"/>
    </row>
    <row r="277" spans="10:83" x14ac:dyDescent="0.35">
      <c r="J277" s="2"/>
      <c r="K277" s="2"/>
      <c r="L277" s="2"/>
      <c r="M277" s="2"/>
      <c r="N277" s="2"/>
      <c r="BO277" s="53"/>
      <c r="BP277" s="53"/>
      <c r="BQ277" s="53"/>
      <c r="BR277" s="53"/>
      <c r="BS277" s="53"/>
      <c r="BU277" s="53"/>
      <c r="BV277" s="53"/>
      <c r="BW277" s="53"/>
      <c r="BX277" s="53"/>
      <c r="BY277" s="53"/>
      <c r="BZ277" s="53"/>
      <c r="CA277" s="53"/>
      <c r="CC277" s="53"/>
      <c r="CD277" s="53"/>
      <c r="CE277" s="53"/>
    </row>
    <row r="278" spans="10:83" x14ac:dyDescent="0.35">
      <c r="J278" s="2"/>
      <c r="K278" s="2"/>
      <c r="L278" s="2"/>
      <c r="M278" s="2"/>
      <c r="N278" s="2"/>
      <c r="BO278" s="53"/>
      <c r="BP278" s="53"/>
      <c r="BQ278" s="53"/>
      <c r="BR278" s="53"/>
      <c r="BS278" s="53"/>
      <c r="BU278" s="53"/>
      <c r="BV278" s="53"/>
      <c r="BW278" s="53"/>
      <c r="BX278" s="53"/>
      <c r="BY278" s="53"/>
      <c r="BZ278" s="53"/>
      <c r="CA278" s="53"/>
      <c r="CC278" s="53"/>
      <c r="CD278" s="53"/>
      <c r="CE278" s="53"/>
    </row>
    <row r="279" spans="10:83" x14ac:dyDescent="0.35">
      <c r="J279" s="2"/>
      <c r="K279" s="2"/>
      <c r="L279" s="2"/>
      <c r="M279" s="2"/>
      <c r="N279" s="2"/>
      <c r="BO279" s="53"/>
      <c r="BP279" s="53"/>
      <c r="BQ279" s="53"/>
      <c r="BR279" s="53"/>
      <c r="BS279" s="53"/>
      <c r="BU279" s="53"/>
      <c r="BV279" s="53"/>
      <c r="BW279" s="53"/>
      <c r="BX279" s="53"/>
      <c r="BY279" s="53"/>
      <c r="BZ279" s="53"/>
      <c r="CA279" s="53"/>
      <c r="CC279" s="53"/>
      <c r="CD279" s="53"/>
      <c r="CE279" s="53"/>
    </row>
    <row r="280" spans="10:83" x14ac:dyDescent="0.35">
      <c r="J280" s="2"/>
      <c r="K280" s="2"/>
      <c r="L280" s="2"/>
      <c r="M280" s="2"/>
      <c r="N280" s="2"/>
      <c r="BO280" s="53"/>
      <c r="BP280" s="53"/>
      <c r="BQ280" s="53"/>
      <c r="BR280" s="53"/>
      <c r="BS280" s="53"/>
      <c r="BU280" s="53"/>
      <c r="BV280" s="53"/>
      <c r="BW280" s="53"/>
      <c r="BX280" s="53"/>
      <c r="BY280" s="53"/>
      <c r="BZ280" s="53"/>
      <c r="CA280" s="53"/>
      <c r="CC280" s="53"/>
      <c r="CD280" s="53"/>
      <c r="CE280" s="53"/>
    </row>
    <row r="281" spans="10:83" x14ac:dyDescent="0.35">
      <c r="J281" s="2"/>
      <c r="K281" s="2"/>
      <c r="L281" s="2"/>
      <c r="M281" s="2"/>
      <c r="N281" s="2"/>
      <c r="BO281" s="53"/>
      <c r="BP281" s="53"/>
      <c r="BQ281" s="53"/>
      <c r="BR281" s="53"/>
      <c r="BS281" s="53"/>
      <c r="BU281" s="53"/>
      <c r="BV281" s="53"/>
      <c r="BW281" s="53"/>
      <c r="BX281" s="53"/>
      <c r="BY281" s="53"/>
      <c r="BZ281" s="53"/>
      <c r="CA281" s="53"/>
      <c r="CC281" s="53"/>
      <c r="CD281" s="53"/>
      <c r="CE281" s="53"/>
    </row>
    <row r="282" spans="10:83" x14ac:dyDescent="0.35">
      <c r="J282" s="2"/>
      <c r="K282" s="2"/>
      <c r="L282" s="2"/>
      <c r="M282" s="2"/>
      <c r="N282" s="2"/>
      <c r="BO282" s="53"/>
      <c r="BP282" s="53"/>
      <c r="BQ282" s="53"/>
      <c r="BR282" s="53"/>
      <c r="BS282" s="53"/>
      <c r="BU282" s="53"/>
      <c r="BV282" s="53"/>
      <c r="BW282" s="53"/>
      <c r="BX282" s="53"/>
      <c r="BY282" s="53"/>
      <c r="BZ282" s="53"/>
      <c r="CA282" s="53"/>
      <c r="CC282" s="53"/>
      <c r="CD282" s="53"/>
      <c r="CE282" s="53"/>
    </row>
    <row r="283" spans="10:83" x14ac:dyDescent="0.35">
      <c r="J283" s="2"/>
      <c r="K283" s="2"/>
      <c r="L283" s="2"/>
      <c r="M283" s="2"/>
      <c r="N283" s="2"/>
      <c r="BO283" s="53"/>
      <c r="BP283" s="53"/>
      <c r="BQ283" s="53"/>
      <c r="BR283" s="53"/>
      <c r="BS283" s="53"/>
      <c r="BU283" s="53"/>
      <c r="BV283" s="53"/>
      <c r="BW283" s="53"/>
      <c r="BX283" s="53"/>
      <c r="BY283" s="53"/>
      <c r="BZ283" s="53"/>
      <c r="CA283" s="53"/>
      <c r="CC283" s="53"/>
      <c r="CD283" s="53"/>
      <c r="CE283" s="53"/>
    </row>
    <row r="284" spans="10:83" x14ac:dyDescent="0.35">
      <c r="J284" s="2"/>
      <c r="K284" s="2"/>
      <c r="L284" s="2"/>
      <c r="M284" s="2"/>
      <c r="N284" s="2"/>
      <c r="BO284" s="53"/>
      <c r="BP284" s="53"/>
      <c r="BQ284" s="53"/>
      <c r="BR284" s="53"/>
      <c r="BS284" s="53"/>
      <c r="BU284" s="53"/>
      <c r="BV284" s="53"/>
      <c r="BW284" s="53"/>
      <c r="BX284" s="53"/>
      <c r="BY284" s="53"/>
      <c r="BZ284" s="53"/>
      <c r="CA284" s="53"/>
      <c r="CC284" s="53"/>
      <c r="CD284" s="53"/>
      <c r="CE284" s="53"/>
    </row>
    <row r="285" spans="10:83" x14ac:dyDescent="0.35">
      <c r="J285" s="2"/>
      <c r="K285" s="2"/>
      <c r="L285" s="2"/>
      <c r="M285" s="2"/>
      <c r="N285" s="2"/>
      <c r="BO285" s="53"/>
      <c r="BP285" s="53"/>
      <c r="BQ285" s="53"/>
      <c r="BR285" s="53"/>
      <c r="BS285" s="53"/>
      <c r="BU285" s="53"/>
      <c r="BV285" s="53"/>
      <c r="BW285" s="53"/>
      <c r="BX285" s="53"/>
      <c r="BY285" s="53"/>
      <c r="BZ285" s="53"/>
      <c r="CA285" s="53"/>
      <c r="CC285" s="53"/>
      <c r="CD285" s="53"/>
      <c r="CE285" s="53"/>
    </row>
    <row r="286" spans="10:83" x14ac:dyDescent="0.35">
      <c r="J286" s="2"/>
      <c r="K286" s="2"/>
      <c r="L286" s="2"/>
      <c r="M286" s="2"/>
      <c r="N286" s="2"/>
      <c r="BO286" s="53"/>
      <c r="BP286" s="53"/>
      <c r="BQ286" s="53"/>
      <c r="BR286" s="53"/>
      <c r="BS286" s="53"/>
      <c r="BU286" s="53"/>
      <c r="BV286" s="53"/>
      <c r="BW286" s="53"/>
      <c r="BX286" s="53"/>
      <c r="BY286" s="53"/>
      <c r="BZ286" s="53"/>
      <c r="CA286" s="53"/>
      <c r="CC286" s="53"/>
      <c r="CD286" s="53"/>
      <c r="CE286" s="53"/>
    </row>
    <row r="287" spans="10:83" x14ac:dyDescent="0.35">
      <c r="J287" s="2"/>
      <c r="K287" s="2"/>
      <c r="L287" s="2"/>
      <c r="M287" s="2"/>
      <c r="N287" s="2"/>
      <c r="BO287" s="53"/>
      <c r="BP287" s="53"/>
      <c r="BQ287" s="53"/>
      <c r="BR287" s="53"/>
      <c r="BS287" s="53"/>
      <c r="BU287" s="53"/>
      <c r="BV287" s="53"/>
      <c r="BW287" s="53"/>
      <c r="BX287" s="53"/>
      <c r="BY287" s="53"/>
      <c r="BZ287" s="53"/>
      <c r="CA287" s="53"/>
      <c r="CC287" s="53"/>
      <c r="CD287" s="53"/>
      <c r="CE287" s="53"/>
    </row>
    <row r="288" spans="10:83" x14ac:dyDescent="0.35">
      <c r="J288" s="2"/>
      <c r="K288" s="2"/>
      <c r="L288" s="2"/>
      <c r="M288" s="2"/>
      <c r="N288" s="2"/>
      <c r="BO288" s="53"/>
      <c r="BP288" s="53"/>
      <c r="BQ288" s="53"/>
      <c r="BR288" s="53"/>
      <c r="BS288" s="53"/>
      <c r="BU288" s="53"/>
      <c r="BV288" s="53"/>
      <c r="BW288" s="53"/>
      <c r="BX288" s="53"/>
      <c r="BY288" s="53"/>
      <c r="BZ288" s="53"/>
      <c r="CA288" s="53"/>
      <c r="CC288" s="53"/>
      <c r="CD288" s="53"/>
      <c r="CE288" s="53"/>
    </row>
    <row r="289" spans="10:83" x14ac:dyDescent="0.35">
      <c r="J289" s="2"/>
      <c r="K289" s="2"/>
      <c r="L289" s="2"/>
      <c r="M289" s="2"/>
      <c r="N289" s="2"/>
      <c r="BO289" s="53"/>
      <c r="BP289" s="53"/>
      <c r="BQ289" s="53"/>
      <c r="BR289" s="53"/>
      <c r="BS289" s="53"/>
      <c r="BU289" s="53"/>
      <c r="BV289" s="53"/>
      <c r="BW289" s="53"/>
      <c r="BX289" s="53"/>
      <c r="BY289" s="53"/>
      <c r="BZ289" s="53"/>
      <c r="CA289" s="53"/>
      <c r="CC289" s="53"/>
      <c r="CD289" s="53"/>
      <c r="CE289" s="53"/>
    </row>
    <row r="290" spans="10:83" x14ac:dyDescent="0.35">
      <c r="J290" s="2"/>
      <c r="K290" s="2"/>
      <c r="L290" s="2"/>
      <c r="M290" s="2"/>
      <c r="N290" s="2"/>
      <c r="BO290" s="53"/>
      <c r="BP290" s="53"/>
      <c r="BQ290" s="53"/>
      <c r="BR290" s="53"/>
      <c r="BS290" s="53"/>
      <c r="BU290" s="53"/>
      <c r="BV290" s="53"/>
      <c r="BW290" s="53"/>
      <c r="BX290" s="53"/>
      <c r="BY290" s="53"/>
      <c r="BZ290" s="53"/>
      <c r="CA290" s="53"/>
      <c r="CC290" s="53"/>
      <c r="CD290" s="53"/>
      <c r="CE290" s="53"/>
    </row>
    <row r="291" spans="10:83" x14ac:dyDescent="0.35">
      <c r="J291" s="2"/>
      <c r="K291" s="2"/>
      <c r="L291" s="2"/>
      <c r="M291" s="2"/>
      <c r="N291" s="2"/>
      <c r="BO291" s="53"/>
      <c r="BP291" s="53"/>
      <c r="BQ291" s="53"/>
      <c r="BR291" s="53"/>
      <c r="BS291" s="53"/>
      <c r="BU291" s="53"/>
      <c r="BV291" s="53"/>
      <c r="BW291" s="53"/>
      <c r="BX291" s="53"/>
      <c r="BY291" s="53"/>
      <c r="BZ291" s="53"/>
      <c r="CA291" s="53"/>
      <c r="CC291" s="53"/>
      <c r="CD291" s="53"/>
      <c r="CE291" s="53"/>
    </row>
    <row r="292" spans="10:83" x14ac:dyDescent="0.35">
      <c r="J292" s="2"/>
      <c r="K292" s="2"/>
      <c r="L292" s="2"/>
      <c r="M292" s="2"/>
      <c r="N292" s="2"/>
      <c r="BO292" s="53"/>
      <c r="BP292" s="53"/>
      <c r="BQ292" s="53"/>
      <c r="BR292" s="53"/>
      <c r="BS292" s="53"/>
      <c r="BU292" s="53"/>
      <c r="BV292" s="53"/>
      <c r="BW292" s="53"/>
      <c r="BX292" s="53"/>
      <c r="BY292" s="53"/>
      <c r="BZ292" s="53"/>
      <c r="CA292" s="53"/>
      <c r="CC292" s="53"/>
      <c r="CD292" s="53"/>
      <c r="CE292" s="53"/>
    </row>
    <row r="293" spans="10:83" x14ac:dyDescent="0.35">
      <c r="J293" s="2"/>
      <c r="K293" s="2"/>
      <c r="L293" s="2"/>
      <c r="M293" s="2"/>
      <c r="N293" s="2"/>
      <c r="BO293" s="53"/>
      <c r="BP293" s="53"/>
      <c r="BQ293" s="53"/>
      <c r="BR293" s="53"/>
      <c r="BS293" s="53"/>
      <c r="BU293" s="53"/>
      <c r="BV293" s="53"/>
      <c r="BW293" s="53"/>
      <c r="BX293" s="53"/>
      <c r="BY293" s="53"/>
      <c r="BZ293" s="53"/>
      <c r="CA293" s="53"/>
      <c r="CC293" s="53"/>
      <c r="CD293" s="53"/>
      <c r="CE293" s="53"/>
    </row>
    <row r="294" spans="10:83" x14ac:dyDescent="0.35">
      <c r="J294" s="2"/>
      <c r="K294" s="2"/>
      <c r="L294" s="2"/>
      <c r="M294" s="2"/>
      <c r="N294" s="2"/>
      <c r="BO294" s="53"/>
      <c r="BP294" s="53"/>
      <c r="BQ294" s="53"/>
      <c r="BR294" s="53"/>
      <c r="BS294" s="53"/>
      <c r="BU294" s="53"/>
      <c r="BV294" s="53"/>
      <c r="BW294" s="53"/>
      <c r="BX294" s="53"/>
      <c r="BY294" s="53"/>
      <c r="BZ294" s="53"/>
      <c r="CA294" s="53"/>
      <c r="CC294" s="53"/>
      <c r="CD294" s="53"/>
      <c r="CE294" s="53"/>
    </row>
    <row r="295" spans="10:83" x14ac:dyDescent="0.35">
      <c r="J295" s="2"/>
      <c r="K295" s="2"/>
      <c r="L295" s="2"/>
      <c r="M295" s="2"/>
      <c r="N295" s="2"/>
      <c r="BO295" s="53"/>
      <c r="BP295" s="53"/>
      <c r="BQ295" s="53"/>
      <c r="BR295" s="53"/>
      <c r="BS295" s="53"/>
      <c r="BU295" s="53"/>
      <c r="BV295" s="53"/>
      <c r="BW295" s="53"/>
      <c r="BX295" s="53"/>
      <c r="BY295" s="53"/>
      <c r="BZ295" s="53"/>
      <c r="CA295" s="53"/>
      <c r="CC295" s="53"/>
      <c r="CD295" s="53"/>
      <c r="CE295" s="53"/>
    </row>
    <row r="296" spans="10:83" x14ac:dyDescent="0.35">
      <c r="J296" s="2"/>
      <c r="K296" s="2"/>
      <c r="L296" s="2"/>
      <c r="M296" s="2"/>
      <c r="N296" s="2"/>
      <c r="BO296" s="53"/>
      <c r="BP296" s="53"/>
      <c r="BQ296" s="53"/>
      <c r="BR296" s="53"/>
      <c r="BS296" s="53"/>
      <c r="BU296" s="53"/>
      <c r="BV296" s="53"/>
      <c r="BW296" s="53"/>
      <c r="BX296" s="53"/>
      <c r="BY296" s="53"/>
      <c r="BZ296" s="53"/>
      <c r="CA296" s="53"/>
      <c r="CC296" s="53"/>
      <c r="CD296" s="53"/>
      <c r="CE296" s="53"/>
    </row>
    <row r="297" spans="10:83" x14ac:dyDescent="0.35">
      <c r="J297" s="2"/>
      <c r="K297" s="2"/>
      <c r="L297" s="2"/>
      <c r="M297" s="2"/>
      <c r="N297" s="2"/>
      <c r="BO297" s="53"/>
      <c r="BP297" s="53"/>
      <c r="BQ297" s="53"/>
      <c r="BR297" s="53"/>
      <c r="BS297" s="53"/>
      <c r="BU297" s="53"/>
      <c r="BV297" s="53"/>
      <c r="BW297" s="53"/>
      <c r="BX297" s="53"/>
      <c r="BY297" s="53"/>
      <c r="BZ297" s="53"/>
      <c r="CA297" s="53"/>
      <c r="CC297" s="53"/>
      <c r="CD297" s="53"/>
      <c r="CE297" s="53"/>
    </row>
    <row r="298" spans="10:83" x14ac:dyDescent="0.35">
      <c r="J298" s="2"/>
      <c r="K298" s="2"/>
      <c r="L298" s="2"/>
      <c r="M298" s="2"/>
      <c r="N298" s="2"/>
      <c r="BO298" s="53"/>
      <c r="BP298" s="53"/>
      <c r="BQ298" s="53"/>
      <c r="BR298" s="53"/>
      <c r="BS298" s="53"/>
      <c r="BU298" s="53"/>
      <c r="BV298" s="53"/>
      <c r="BW298" s="53"/>
      <c r="BX298" s="53"/>
      <c r="BY298" s="53"/>
      <c r="BZ298" s="53"/>
      <c r="CA298" s="53"/>
      <c r="CC298" s="53"/>
      <c r="CD298" s="53"/>
      <c r="CE298" s="53"/>
    </row>
    <row r="299" spans="10:83" x14ac:dyDescent="0.35">
      <c r="J299" s="2"/>
      <c r="K299" s="2"/>
      <c r="L299" s="2"/>
      <c r="M299" s="2"/>
      <c r="N299" s="2"/>
      <c r="BO299" s="53"/>
      <c r="BP299" s="53"/>
      <c r="BQ299" s="53"/>
      <c r="BR299" s="53"/>
      <c r="BS299" s="53"/>
      <c r="BU299" s="53"/>
      <c r="BV299" s="53"/>
      <c r="BW299" s="53"/>
      <c r="BX299" s="53"/>
      <c r="BY299" s="53"/>
      <c r="BZ299" s="53"/>
      <c r="CA299" s="53"/>
      <c r="CC299" s="53"/>
      <c r="CD299" s="53"/>
      <c r="CE299" s="53"/>
    </row>
    <row r="300" spans="10:83" x14ac:dyDescent="0.35">
      <c r="J300" s="2"/>
      <c r="K300" s="2"/>
      <c r="L300" s="2"/>
      <c r="M300" s="2"/>
      <c r="N300" s="2"/>
      <c r="BO300" s="53"/>
      <c r="BP300" s="53"/>
      <c r="BQ300" s="53"/>
      <c r="BR300" s="53"/>
      <c r="BS300" s="53"/>
      <c r="BU300" s="53"/>
      <c r="BV300" s="53"/>
      <c r="BW300" s="53"/>
      <c r="BX300" s="53"/>
      <c r="BY300" s="53"/>
      <c r="BZ300" s="53"/>
      <c r="CA300" s="53"/>
      <c r="CC300" s="53"/>
      <c r="CD300" s="53"/>
      <c r="CE300" s="53"/>
    </row>
    <row r="301" spans="10:83" x14ac:dyDescent="0.35">
      <c r="J301" s="2"/>
      <c r="K301" s="2"/>
      <c r="L301" s="2"/>
      <c r="M301" s="2"/>
      <c r="N301" s="2"/>
      <c r="BO301" s="53"/>
      <c r="BP301" s="53"/>
      <c r="BQ301" s="53"/>
      <c r="BR301" s="53"/>
      <c r="BS301" s="53"/>
      <c r="BU301" s="53"/>
      <c r="BV301" s="53"/>
      <c r="BW301" s="53"/>
      <c r="BX301" s="53"/>
      <c r="BY301" s="53"/>
      <c r="BZ301" s="53"/>
      <c r="CA301" s="53"/>
      <c r="CC301" s="53"/>
      <c r="CD301" s="53"/>
      <c r="CE301" s="53"/>
    </row>
    <row r="302" spans="10:83" x14ac:dyDescent="0.35">
      <c r="J302" s="2"/>
      <c r="K302" s="2"/>
      <c r="L302" s="2"/>
      <c r="M302" s="2"/>
      <c r="N302" s="2"/>
      <c r="BO302" s="53"/>
      <c r="BP302" s="53"/>
      <c r="BQ302" s="53"/>
      <c r="BR302" s="53"/>
      <c r="BS302" s="53"/>
      <c r="BU302" s="53"/>
      <c r="BV302" s="53"/>
      <c r="BW302" s="53"/>
      <c r="BX302" s="53"/>
      <c r="BY302" s="53"/>
      <c r="BZ302" s="53"/>
      <c r="CA302" s="53"/>
      <c r="CC302" s="53"/>
      <c r="CD302" s="53"/>
      <c r="CE302" s="53"/>
    </row>
    <row r="303" spans="10:83" x14ac:dyDescent="0.35">
      <c r="J303" s="2"/>
      <c r="K303" s="2"/>
      <c r="L303" s="2"/>
      <c r="M303" s="2"/>
      <c r="N303" s="2"/>
      <c r="BO303" s="53"/>
      <c r="BP303" s="53"/>
      <c r="BQ303" s="53"/>
      <c r="BR303" s="53"/>
      <c r="BS303" s="53"/>
      <c r="BU303" s="53"/>
      <c r="BV303" s="53"/>
      <c r="BW303" s="53"/>
      <c r="BX303" s="53"/>
      <c r="BY303" s="53"/>
      <c r="BZ303" s="53"/>
      <c r="CA303" s="53"/>
      <c r="CC303" s="53"/>
      <c r="CD303" s="53"/>
      <c r="CE303" s="53"/>
    </row>
    <row r="304" spans="10:83" x14ac:dyDescent="0.35">
      <c r="J304" s="2"/>
      <c r="K304" s="2"/>
      <c r="L304" s="2"/>
      <c r="M304" s="2"/>
      <c r="N304" s="2"/>
      <c r="BO304" s="53"/>
      <c r="BP304" s="53"/>
      <c r="BQ304" s="53"/>
      <c r="BR304" s="53"/>
      <c r="BS304" s="53"/>
      <c r="BU304" s="53"/>
      <c r="BV304" s="53"/>
      <c r="BW304" s="53"/>
      <c r="BX304" s="53"/>
      <c r="BY304" s="53"/>
      <c r="BZ304" s="53"/>
      <c r="CA304" s="53"/>
      <c r="CC304" s="53"/>
      <c r="CD304" s="53"/>
      <c r="CE304" s="53"/>
    </row>
    <row r="305" spans="10:83" x14ac:dyDescent="0.35">
      <c r="J305" s="2"/>
      <c r="K305" s="2"/>
      <c r="L305" s="2"/>
      <c r="M305" s="2"/>
      <c r="N305" s="2"/>
      <c r="BO305" s="53"/>
      <c r="BP305" s="53"/>
      <c r="BQ305" s="53"/>
      <c r="BR305" s="53"/>
      <c r="BS305" s="53"/>
      <c r="BU305" s="53"/>
      <c r="BV305" s="53"/>
      <c r="BW305" s="53"/>
      <c r="BX305" s="53"/>
      <c r="BY305" s="53"/>
      <c r="BZ305" s="53"/>
      <c r="CA305" s="53"/>
      <c r="CC305" s="53"/>
      <c r="CD305" s="53"/>
      <c r="CE305" s="53"/>
    </row>
    <row r="306" spans="10:83" x14ac:dyDescent="0.35">
      <c r="J306" s="2"/>
      <c r="K306" s="2"/>
      <c r="L306" s="2"/>
      <c r="M306" s="2"/>
      <c r="N306" s="2"/>
      <c r="BO306" s="53"/>
      <c r="BP306" s="53"/>
      <c r="BQ306" s="53"/>
      <c r="BR306" s="53"/>
      <c r="BS306" s="53"/>
      <c r="BU306" s="53"/>
      <c r="BV306" s="53"/>
      <c r="BW306" s="53"/>
      <c r="BX306" s="53"/>
      <c r="BY306" s="53"/>
      <c r="BZ306" s="53"/>
      <c r="CA306" s="53"/>
      <c r="CC306" s="53"/>
      <c r="CD306" s="53"/>
      <c r="CE306" s="53"/>
    </row>
    <row r="307" spans="10:83" x14ac:dyDescent="0.35">
      <c r="J307" s="2"/>
      <c r="K307" s="2"/>
      <c r="L307" s="2"/>
      <c r="M307" s="2"/>
      <c r="N307" s="2"/>
      <c r="BO307" s="53"/>
      <c r="BP307" s="53"/>
      <c r="BQ307" s="53"/>
      <c r="BR307" s="53"/>
      <c r="BS307" s="53"/>
      <c r="BU307" s="53"/>
      <c r="BV307" s="53"/>
      <c r="BW307" s="53"/>
      <c r="BX307" s="53"/>
      <c r="BY307" s="53"/>
      <c r="BZ307" s="53"/>
      <c r="CA307" s="53"/>
      <c r="CC307" s="53"/>
      <c r="CD307" s="53"/>
      <c r="CE307" s="53"/>
    </row>
    <row r="308" spans="10:83" x14ac:dyDescent="0.35">
      <c r="J308" s="2"/>
      <c r="K308" s="2"/>
      <c r="L308" s="2"/>
      <c r="M308" s="2"/>
      <c r="N308" s="2"/>
      <c r="BO308" s="53"/>
      <c r="BP308" s="53"/>
      <c r="BQ308" s="53"/>
      <c r="BR308" s="53"/>
      <c r="BS308" s="53"/>
      <c r="BU308" s="53"/>
      <c r="BV308" s="53"/>
      <c r="BW308" s="53"/>
      <c r="BX308" s="53"/>
      <c r="BY308" s="53"/>
      <c r="BZ308" s="53"/>
      <c r="CA308" s="53"/>
      <c r="CC308" s="53"/>
      <c r="CD308" s="53"/>
      <c r="CE308" s="53"/>
    </row>
    <row r="309" spans="10:83" x14ac:dyDescent="0.35">
      <c r="J309" s="2"/>
      <c r="K309" s="2"/>
      <c r="L309" s="2"/>
      <c r="M309" s="2"/>
      <c r="N309" s="2"/>
      <c r="BO309" s="53"/>
      <c r="BP309" s="53"/>
      <c r="BQ309" s="53"/>
      <c r="BR309" s="53"/>
      <c r="BS309" s="53"/>
      <c r="BU309" s="53"/>
      <c r="BV309" s="53"/>
      <c r="BW309" s="53"/>
      <c r="BX309" s="53"/>
      <c r="BY309" s="53"/>
      <c r="BZ309" s="53"/>
      <c r="CA309" s="53"/>
      <c r="CC309" s="53"/>
      <c r="CD309" s="53"/>
      <c r="CE309" s="53"/>
    </row>
    <row r="310" spans="10:83" x14ac:dyDescent="0.35">
      <c r="J310" s="2"/>
      <c r="K310" s="2"/>
      <c r="L310" s="2"/>
      <c r="M310" s="2"/>
      <c r="N310" s="2"/>
      <c r="BO310" s="53"/>
      <c r="BP310" s="53"/>
      <c r="BQ310" s="53"/>
      <c r="BR310" s="53"/>
      <c r="BS310" s="53"/>
      <c r="BU310" s="53"/>
      <c r="BV310" s="53"/>
      <c r="BW310" s="53"/>
      <c r="BX310" s="53"/>
      <c r="BY310" s="53"/>
      <c r="BZ310" s="53"/>
      <c r="CA310" s="53"/>
      <c r="CC310" s="53"/>
      <c r="CD310" s="53"/>
      <c r="CE310" s="53"/>
    </row>
    <row r="311" spans="10:83" x14ac:dyDescent="0.35">
      <c r="J311" s="2"/>
      <c r="K311" s="2"/>
      <c r="L311" s="2"/>
      <c r="M311" s="2"/>
      <c r="N311" s="2"/>
      <c r="BO311" s="53"/>
      <c r="BP311" s="53"/>
      <c r="BQ311" s="53"/>
      <c r="BR311" s="53"/>
      <c r="BS311" s="53"/>
      <c r="BU311" s="53"/>
      <c r="BV311" s="53"/>
      <c r="BW311" s="53"/>
      <c r="BX311" s="53"/>
      <c r="BY311" s="53"/>
      <c r="BZ311" s="53"/>
      <c r="CA311" s="53"/>
      <c r="CC311" s="53"/>
      <c r="CD311" s="53"/>
      <c r="CE311" s="53"/>
    </row>
    <row r="312" spans="10:83" x14ac:dyDescent="0.35">
      <c r="J312" s="2"/>
      <c r="K312" s="2"/>
      <c r="L312" s="2"/>
      <c r="M312" s="2"/>
      <c r="N312" s="2"/>
      <c r="BO312" s="53"/>
      <c r="BP312" s="53"/>
      <c r="BQ312" s="53"/>
      <c r="BR312" s="53"/>
      <c r="BS312" s="53"/>
      <c r="BU312" s="53"/>
      <c r="BV312" s="53"/>
      <c r="BW312" s="53"/>
      <c r="BX312" s="53"/>
      <c r="BY312" s="53"/>
      <c r="BZ312" s="53"/>
      <c r="CA312" s="53"/>
      <c r="CC312" s="53"/>
      <c r="CD312" s="53"/>
      <c r="CE312" s="53"/>
    </row>
    <row r="313" spans="10:83" x14ac:dyDescent="0.35">
      <c r="J313" s="2"/>
      <c r="K313" s="2"/>
      <c r="L313" s="2"/>
      <c r="M313" s="2"/>
      <c r="N313" s="2"/>
      <c r="BO313" s="53"/>
      <c r="BP313" s="53"/>
      <c r="BQ313" s="53"/>
      <c r="BR313" s="53"/>
      <c r="BS313" s="53"/>
      <c r="BU313" s="53"/>
      <c r="BV313" s="53"/>
      <c r="BW313" s="53"/>
      <c r="BX313" s="53"/>
      <c r="BY313" s="53"/>
      <c r="BZ313" s="53"/>
      <c r="CA313" s="53"/>
      <c r="CC313" s="53"/>
      <c r="CD313" s="53"/>
      <c r="CE313" s="53"/>
    </row>
    <row r="314" spans="10:83" x14ac:dyDescent="0.35">
      <c r="J314" s="2"/>
      <c r="K314" s="2"/>
      <c r="L314" s="2"/>
      <c r="M314" s="2"/>
      <c r="N314" s="2"/>
      <c r="BO314" s="53"/>
      <c r="BP314" s="53"/>
      <c r="BQ314" s="53"/>
      <c r="BR314" s="53"/>
      <c r="BS314" s="53"/>
      <c r="BU314" s="53"/>
      <c r="BV314" s="53"/>
      <c r="BW314" s="53"/>
      <c r="BX314" s="53"/>
      <c r="BY314" s="53"/>
      <c r="BZ314" s="53"/>
      <c r="CA314" s="53"/>
      <c r="CC314" s="53"/>
      <c r="CD314" s="53"/>
      <c r="CE314" s="53"/>
    </row>
    <row r="315" spans="10:83" x14ac:dyDescent="0.35">
      <c r="J315" s="2"/>
      <c r="K315" s="2"/>
      <c r="L315" s="2"/>
      <c r="M315" s="2"/>
      <c r="N315" s="2"/>
      <c r="BO315" s="53"/>
      <c r="BP315" s="53"/>
      <c r="BQ315" s="53"/>
      <c r="BR315" s="53"/>
      <c r="BS315" s="53"/>
      <c r="BU315" s="53"/>
      <c r="BV315" s="53"/>
      <c r="BW315" s="53"/>
      <c r="BX315" s="53"/>
      <c r="BY315" s="53"/>
      <c r="BZ315" s="53"/>
      <c r="CA315" s="53"/>
      <c r="CC315" s="53"/>
      <c r="CD315" s="53"/>
      <c r="CE315" s="53"/>
    </row>
    <row r="316" spans="10:83" x14ac:dyDescent="0.35">
      <c r="J316" s="2"/>
      <c r="K316" s="2"/>
      <c r="L316" s="2"/>
      <c r="M316" s="2"/>
      <c r="N316" s="2"/>
      <c r="BO316" s="53"/>
      <c r="BP316" s="53"/>
      <c r="BQ316" s="53"/>
      <c r="BR316" s="53"/>
      <c r="BS316" s="53"/>
      <c r="BU316" s="53"/>
      <c r="BV316" s="53"/>
      <c r="BW316" s="53"/>
      <c r="BX316" s="53"/>
      <c r="BY316" s="53"/>
      <c r="BZ316" s="53"/>
      <c r="CA316" s="53"/>
      <c r="CC316" s="53"/>
      <c r="CD316" s="53"/>
      <c r="CE316" s="53"/>
    </row>
    <row r="317" spans="10:83" x14ac:dyDescent="0.35">
      <c r="J317" s="2"/>
      <c r="K317" s="2"/>
      <c r="L317" s="2"/>
      <c r="M317" s="2"/>
      <c r="N317" s="2"/>
      <c r="BO317" s="53"/>
      <c r="BP317" s="53"/>
      <c r="BQ317" s="53"/>
      <c r="BR317" s="53"/>
      <c r="BS317" s="53"/>
      <c r="BU317" s="53"/>
      <c r="BV317" s="53"/>
      <c r="BW317" s="53"/>
      <c r="BX317" s="53"/>
      <c r="BY317" s="53"/>
      <c r="BZ317" s="53"/>
      <c r="CA317" s="53"/>
      <c r="CC317" s="53"/>
      <c r="CD317" s="53"/>
      <c r="CE317" s="53"/>
    </row>
    <row r="318" spans="10:83" x14ac:dyDescent="0.35">
      <c r="J318" s="2"/>
      <c r="K318" s="2"/>
      <c r="L318" s="2"/>
      <c r="M318" s="2"/>
      <c r="N318" s="2"/>
      <c r="BO318" s="53"/>
      <c r="BP318" s="53"/>
      <c r="BQ318" s="53"/>
      <c r="BR318" s="53"/>
      <c r="BS318" s="53"/>
      <c r="BU318" s="53"/>
      <c r="BV318" s="53"/>
      <c r="BW318" s="53"/>
      <c r="BX318" s="53"/>
      <c r="BY318" s="53"/>
      <c r="BZ318" s="53"/>
      <c r="CA318" s="53"/>
      <c r="CC318" s="53"/>
      <c r="CD318" s="53"/>
      <c r="CE318" s="53"/>
    </row>
    <row r="319" spans="10:83" x14ac:dyDescent="0.35">
      <c r="J319" s="2"/>
      <c r="K319" s="2"/>
      <c r="L319" s="2"/>
      <c r="M319" s="2"/>
      <c r="N319" s="2"/>
      <c r="BO319" s="53"/>
      <c r="BP319" s="53"/>
      <c r="BQ319" s="53"/>
      <c r="BR319" s="53"/>
      <c r="BS319" s="53"/>
      <c r="BU319" s="53"/>
      <c r="BV319" s="53"/>
      <c r="BW319" s="53"/>
      <c r="BX319" s="53"/>
      <c r="BY319" s="53"/>
      <c r="BZ319" s="53"/>
      <c r="CA319" s="53"/>
      <c r="CC319" s="53"/>
      <c r="CD319" s="53"/>
      <c r="CE319" s="53"/>
    </row>
    <row r="320" spans="10:83" x14ac:dyDescent="0.35">
      <c r="J320" s="2"/>
      <c r="K320" s="2"/>
      <c r="L320" s="2"/>
      <c r="M320" s="2"/>
      <c r="N320" s="2"/>
      <c r="BO320" s="53"/>
      <c r="BP320" s="53"/>
      <c r="BQ320" s="53"/>
      <c r="BR320" s="53"/>
      <c r="BS320" s="53"/>
      <c r="BU320" s="53"/>
      <c r="BV320" s="53"/>
      <c r="BW320" s="53"/>
      <c r="BX320" s="53"/>
      <c r="BY320" s="53"/>
      <c r="BZ320" s="53"/>
      <c r="CA320" s="53"/>
      <c r="CC320" s="53"/>
      <c r="CD320" s="53"/>
      <c r="CE320" s="53"/>
    </row>
    <row r="321" spans="10:83" x14ac:dyDescent="0.35">
      <c r="J321" s="2"/>
      <c r="K321" s="2"/>
      <c r="L321" s="2"/>
      <c r="M321" s="2"/>
      <c r="N321" s="2"/>
      <c r="BO321" s="53"/>
      <c r="BP321" s="53"/>
      <c r="BQ321" s="53"/>
      <c r="BR321" s="53"/>
      <c r="BS321" s="53"/>
      <c r="BU321" s="53"/>
      <c r="BV321" s="53"/>
      <c r="BW321" s="53"/>
      <c r="BX321" s="53"/>
      <c r="BY321" s="53"/>
      <c r="BZ321" s="53"/>
      <c r="CA321" s="53"/>
      <c r="CC321" s="53"/>
      <c r="CD321" s="53"/>
      <c r="CE321" s="53"/>
    </row>
    <row r="322" spans="10:83" x14ac:dyDescent="0.35">
      <c r="J322" s="2"/>
      <c r="K322" s="2"/>
      <c r="L322" s="2"/>
      <c r="M322" s="2"/>
      <c r="N322" s="2"/>
      <c r="BO322" s="53"/>
      <c r="BP322" s="53"/>
      <c r="BQ322" s="53"/>
      <c r="BR322" s="53"/>
      <c r="BS322" s="53"/>
      <c r="BU322" s="53"/>
      <c r="BV322" s="53"/>
      <c r="BW322" s="53"/>
      <c r="BX322" s="53"/>
      <c r="BY322" s="53"/>
      <c r="BZ322" s="53"/>
      <c r="CA322" s="53"/>
      <c r="CC322" s="53"/>
      <c r="CD322" s="53"/>
      <c r="CE322" s="53"/>
    </row>
    <row r="323" spans="10:83" x14ac:dyDescent="0.35">
      <c r="J323" s="2"/>
      <c r="K323" s="2"/>
      <c r="L323" s="2"/>
      <c r="M323" s="2"/>
      <c r="N323" s="2"/>
      <c r="BO323" s="53"/>
      <c r="BP323" s="53"/>
      <c r="BQ323" s="53"/>
      <c r="BR323" s="53"/>
      <c r="BS323" s="53"/>
      <c r="BU323" s="53"/>
      <c r="BV323" s="53"/>
      <c r="BW323" s="53"/>
      <c r="BX323" s="53"/>
      <c r="BY323" s="53"/>
      <c r="BZ323" s="53"/>
      <c r="CA323" s="53"/>
      <c r="CC323" s="53"/>
      <c r="CD323" s="53"/>
      <c r="CE323" s="53"/>
    </row>
    <row r="324" spans="10:83" x14ac:dyDescent="0.35">
      <c r="J324" s="2"/>
      <c r="K324" s="2"/>
      <c r="L324" s="2"/>
      <c r="M324" s="2"/>
      <c r="N324" s="2"/>
      <c r="BO324" s="53"/>
      <c r="BP324" s="53"/>
      <c r="BQ324" s="53"/>
      <c r="BR324" s="53"/>
      <c r="BS324" s="53"/>
      <c r="BU324" s="53"/>
      <c r="BV324" s="53"/>
      <c r="BW324" s="53"/>
      <c r="BX324" s="53"/>
      <c r="BY324" s="53"/>
      <c r="BZ324" s="53"/>
      <c r="CA324" s="53"/>
      <c r="CC324" s="53"/>
      <c r="CD324" s="53"/>
      <c r="CE324" s="53"/>
    </row>
    <row r="325" spans="10:83" x14ac:dyDescent="0.35">
      <c r="J325" s="2"/>
      <c r="K325" s="2"/>
      <c r="L325" s="2"/>
      <c r="M325" s="2"/>
      <c r="N325" s="2"/>
      <c r="BO325" s="53"/>
      <c r="BP325" s="53"/>
      <c r="BQ325" s="53"/>
      <c r="BR325" s="53"/>
      <c r="BS325" s="53"/>
      <c r="BU325" s="53"/>
      <c r="BV325" s="53"/>
      <c r="BW325" s="53"/>
      <c r="BX325" s="53"/>
      <c r="BY325" s="53"/>
      <c r="BZ325" s="53"/>
      <c r="CA325" s="53"/>
      <c r="CC325" s="53"/>
      <c r="CD325" s="53"/>
      <c r="CE325" s="53"/>
    </row>
    <row r="326" spans="10:83" x14ac:dyDescent="0.35">
      <c r="J326" s="2"/>
      <c r="K326" s="2"/>
      <c r="L326" s="2"/>
      <c r="M326" s="2"/>
      <c r="N326" s="2"/>
      <c r="BO326" s="53"/>
      <c r="BP326" s="53"/>
      <c r="BQ326" s="53"/>
      <c r="BR326" s="53"/>
      <c r="BS326" s="53"/>
      <c r="BU326" s="53"/>
      <c r="BV326" s="53"/>
      <c r="BW326" s="53"/>
      <c r="BX326" s="53"/>
      <c r="BY326" s="53"/>
      <c r="BZ326" s="53"/>
      <c r="CA326" s="53"/>
      <c r="CC326" s="53"/>
      <c r="CD326" s="53"/>
      <c r="CE326" s="53"/>
    </row>
    <row r="327" spans="10:83" x14ac:dyDescent="0.35">
      <c r="J327" s="2"/>
      <c r="K327" s="2"/>
      <c r="L327" s="2"/>
      <c r="M327" s="2"/>
      <c r="N327" s="2"/>
      <c r="BO327" s="53"/>
      <c r="BP327" s="53"/>
      <c r="BQ327" s="53"/>
      <c r="BR327" s="53"/>
      <c r="BS327" s="53"/>
      <c r="BU327" s="53"/>
      <c r="BV327" s="53"/>
      <c r="BW327" s="53"/>
      <c r="BX327" s="53"/>
      <c r="BY327" s="53"/>
      <c r="BZ327" s="53"/>
      <c r="CA327" s="53"/>
      <c r="CC327" s="53"/>
      <c r="CD327" s="53"/>
      <c r="CE327" s="53"/>
    </row>
    <row r="328" spans="10:83" x14ac:dyDescent="0.35">
      <c r="J328" s="2"/>
      <c r="K328" s="2"/>
      <c r="L328" s="2"/>
      <c r="M328" s="2"/>
      <c r="N328" s="2"/>
      <c r="BO328" s="53"/>
      <c r="BP328" s="53"/>
      <c r="BQ328" s="53"/>
      <c r="BR328" s="53"/>
      <c r="BS328" s="53"/>
      <c r="BU328" s="53"/>
      <c r="BV328" s="53"/>
      <c r="BW328" s="53"/>
      <c r="BX328" s="53"/>
      <c r="BY328" s="53"/>
      <c r="BZ328" s="53"/>
      <c r="CA328" s="53"/>
      <c r="CC328" s="53"/>
      <c r="CD328" s="53"/>
      <c r="CE328" s="53"/>
    </row>
    <row r="329" spans="10:83" x14ac:dyDescent="0.35">
      <c r="J329" s="2"/>
      <c r="K329" s="2"/>
      <c r="L329" s="2"/>
      <c r="M329" s="2"/>
      <c r="N329" s="2"/>
      <c r="BO329" s="53"/>
      <c r="BP329" s="53"/>
      <c r="BQ329" s="53"/>
      <c r="BR329" s="53"/>
      <c r="BS329" s="53"/>
      <c r="BU329" s="53"/>
      <c r="BV329" s="53"/>
      <c r="BW329" s="53"/>
      <c r="BX329" s="53"/>
      <c r="BY329" s="53"/>
      <c r="BZ329" s="53"/>
      <c r="CA329" s="53"/>
      <c r="CC329" s="53"/>
      <c r="CD329" s="53"/>
      <c r="CE329" s="53"/>
    </row>
    <row r="330" spans="10:83" x14ac:dyDescent="0.35">
      <c r="J330" s="2"/>
      <c r="K330" s="2"/>
      <c r="L330" s="2"/>
      <c r="M330" s="2"/>
      <c r="N330" s="2"/>
      <c r="BO330" s="53"/>
      <c r="BP330" s="53"/>
      <c r="BQ330" s="53"/>
      <c r="BR330" s="53"/>
      <c r="BS330" s="53"/>
      <c r="BU330" s="53"/>
      <c r="BV330" s="53"/>
      <c r="BW330" s="53"/>
      <c r="BX330" s="53"/>
      <c r="BY330" s="53"/>
      <c r="BZ330" s="53"/>
      <c r="CA330" s="53"/>
      <c r="CC330" s="53"/>
      <c r="CD330" s="53"/>
      <c r="CE330" s="53"/>
    </row>
    <row r="331" spans="10:83" x14ac:dyDescent="0.35">
      <c r="J331" s="2"/>
      <c r="K331" s="2"/>
      <c r="L331" s="2"/>
      <c r="M331" s="2"/>
      <c r="N331" s="2"/>
      <c r="BO331" s="53"/>
      <c r="BP331" s="53"/>
      <c r="BQ331" s="53"/>
      <c r="BR331" s="53"/>
      <c r="BS331" s="53"/>
      <c r="BU331" s="53"/>
      <c r="BV331" s="53"/>
      <c r="BW331" s="53"/>
      <c r="BX331" s="53"/>
      <c r="BY331" s="53"/>
      <c r="BZ331" s="53"/>
      <c r="CA331" s="53"/>
      <c r="CC331" s="53"/>
      <c r="CD331" s="53"/>
      <c r="CE331" s="53"/>
    </row>
    <row r="332" spans="10:83" x14ac:dyDescent="0.35">
      <c r="J332" s="2"/>
      <c r="K332" s="2"/>
      <c r="L332" s="2"/>
      <c r="M332" s="2"/>
      <c r="N332" s="2"/>
      <c r="BO332" s="53"/>
      <c r="BP332" s="53"/>
      <c r="BQ332" s="53"/>
      <c r="BR332" s="53"/>
      <c r="BS332" s="53"/>
      <c r="BU332" s="53"/>
      <c r="BV332" s="53"/>
      <c r="BW332" s="53"/>
      <c r="BX332" s="53"/>
      <c r="BY332" s="53"/>
      <c r="BZ332" s="53"/>
      <c r="CA332" s="53"/>
      <c r="CC332" s="53"/>
      <c r="CD332" s="53"/>
      <c r="CE332" s="53"/>
    </row>
    <row r="333" spans="10:83" x14ac:dyDescent="0.35">
      <c r="J333" s="2"/>
      <c r="K333" s="2"/>
      <c r="L333" s="2"/>
      <c r="M333" s="2"/>
      <c r="N333" s="2"/>
      <c r="BO333" s="53"/>
      <c r="BP333" s="53"/>
      <c r="BQ333" s="53"/>
      <c r="BR333" s="53"/>
      <c r="BS333" s="53"/>
      <c r="BU333" s="53"/>
      <c r="BV333" s="53"/>
      <c r="BW333" s="53"/>
      <c r="BX333" s="53"/>
      <c r="BY333" s="53"/>
      <c r="BZ333" s="53"/>
      <c r="CA333" s="53"/>
      <c r="CC333" s="53"/>
      <c r="CD333" s="53"/>
      <c r="CE333" s="53"/>
    </row>
    <row r="334" spans="10:83" x14ac:dyDescent="0.35">
      <c r="J334" s="2"/>
      <c r="K334" s="2"/>
      <c r="L334" s="2"/>
      <c r="M334" s="2"/>
      <c r="N334" s="2"/>
      <c r="BO334" s="53"/>
      <c r="BP334" s="53"/>
      <c r="BQ334" s="53"/>
      <c r="BR334" s="53"/>
      <c r="BS334" s="53"/>
      <c r="BU334" s="53"/>
      <c r="BV334" s="53"/>
      <c r="BW334" s="53"/>
      <c r="BX334" s="53"/>
      <c r="BY334" s="53"/>
      <c r="BZ334" s="53"/>
      <c r="CA334" s="53"/>
      <c r="CC334" s="53"/>
      <c r="CD334" s="53"/>
      <c r="CE334" s="53"/>
    </row>
    <row r="335" spans="10:83" x14ac:dyDescent="0.35">
      <c r="J335" s="2"/>
      <c r="K335" s="2"/>
      <c r="L335" s="2"/>
      <c r="M335" s="2"/>
      <c r="N335" s="2"/>
      <c r="BO335" s="53"/>
      <c r="BP335" s="53"/>
      <c r="BQ335" s="53"/>
      <c r="BR335" s="53"/>
      <c r="BS335" s="53"/>
      <c r="BU335" s="53"/>
      <c r="BV335" s="53"/>
      <c r="BW335" s="53"/>
      <c r="BX335" s="53"/>
      <c r="BY335" s="53"/>
      <c r="BZ335" s="53"/>
      <c r="CA335" s="53"/>
      <c r="CC335" s="53"/>
      <c r="CD335" s="53"/>
      <c r="CE335" s="53"/>
    </row>
    <row r="336" spans="10:83" x14ac:dyDescent="0.35">
      <c r="J336" s="2"/>
      <c r="K336" s="2"/>
      <c r="L336" s="2"/>
      <c r="M336" s="2"/>
      <c r="N336" s="2"/>
      <c r="BO336" s="53"/>
      <c r="BP336" s="53"/>
      <c r="BQ336" s="53"/>
      <c r="BR336" s="53"/>
      <c r="BS336" s="53"/>
      <c r="BU336" s="53"/>
      <c r="BV336" s="53"/>
      <c r="BW336" s="53"/>
      <c r="BX336" s="53"/>
      <c r="BY336" s="53"/>
      <c r="BZ336" s="53"/>
      <c r="CA336" s="53"/>
      <c r="CC336" s="53"/>
      <c r="CD336" s="53"/>
      <c r="CE336" s="53"/>
    </row>
    <row r="337" spans="10:83" x14ac:dyDescent="0.35">
      <c r="J337" s="2"/>
      <c r="K337" s="2"/>
      <c r="L337" s="2"/>
      <c r="M337" s="2"/>
      <c r="N337" s="2"/>
      <c r="BO337" s="53"/>
      <c r="BP337" s="53"/>
      <c r="BQ337" s="53"/>
      <c r="BR337" s="53"/>
      <c r="BS337" s="53"/>
      <c r="BU337" s="53"/>
      <c r="BV337" s="53"/>
      <c r="BW337" s="53"/>
      <c r="BX337" s="53"/>
      <c r="BY337" s="53"/>
      <c r="BZ337" s="53"/>
      <c r="CA337" s="53"/>
      <c r="CC337" s="53"/>
      <c r="CD337" s="53"/>
      <c r="CE337" s="53"/>
    </row>
    <row r="338" spans="10:83" x14ac:dyDescent="0.35">
      <c r="J338" s="2"/>
      <c r="K338" s="2"/>
      <c r="L338" s="2"/>
      <c r="M338" s="2"/>
      <c r="N338" s="2"/>
      <c r="BO338" s="53"/>
      <c r="BP338" s="53"/>
      <c r="BQ338" s="53"/>
      <c r="BR338" s="53"/>
      <c r="BS338" s="53"/>
      <c r="BU338" s="53"/>
      <c r="BV338" s="53"/>
      <c r="BW338" s="53"/>
      <c r="BX338" s="53"/>
      <c r="BY338" s="53"/>
      <c r="BZ338" s="53"/>
      <c r="CA338" s="53"/>
      <c r="CC338" s="53"/>
      <c r="CD338" s="53"/>
      <c r="CE338" s="53"/>
    </row>
    <row r="339" spans="10:83" x14ac:dyDescent="0.35">
      <c r="J339" s="2"/>
      <c r="K339" s="2"/>
      <c r="L339" s="2"/>
      <c r="M339" s="2"/>
      <c r="N339" s="2"/>
      <c r="BO339" s="53"/>
      <c r="BP339" s="53"/>
      <c r="BQ339" s="53"/>
      <c r="BR339" s="53"/>
      <c r="BS339" s="53"/>
      <c r="BU339" s="53"/>
      <c r="BV339" s="53"/>
      <c r="BW339" s="53"/>
      <c r="BX339" s="53"/>
      <c r="BY339" s="53"/>
      <c r="BZ339" s="53"/>
      <c r="CA339" s="53"/>
      <c r="CC339" s="53"/>
      <c r="CD339" s="53"/>
      <c r="CE339" s="53"/>
    </row>
    <row r="340" spans="10:83" x14ac:dyDescent="0.35">
      <c r="J340" s="2"/>
      <c r="K340" s="2"/>
      <c r="L340" s="2"/>
      <c r="M340" s="2"/>
      <c r="N340" s="2"/>
      <c r="BO340" s="53"/>
      <c r="BP340" s="53"/>
      <c r="BQ340" s="53"/>
      <c r="BR340" s="53"/>
      <c r="BS340" s="53"/>
      <c r="BU340" s="53"/>
      <c r="BV340" s="53"/>
      <c r="BW340" s="53"/>
      <c r="BX340" s="53"/>
      <c r="BY340" s="53"/>
      <c r="BZ340" s="53"/>
      <c r="CA340" s="53"/>
      <c r="CC340" s="53"/>
      <c r="CD340" s="53"/>
      <c r="CE340" s="53"/>
    </row>
    <row r="341" spans="10:83" x14ac:dyDescent="0.35">
      <c r="J341" s="2"/>
      <c r="K341" s="2"/>
      <c r="L341" s="2"/>
      <c r="M341" s="2"/>
      <c r="N341" s="2"/>
      <c r="BO341" s="53"/>
      <c r="BP341" s="53"/>
      <c r="BQ341" s="53"/>
      <c r="BR341" s="53"/>
      <c r="BS341" s="53"/>
      <c r="BU341" s="53"/>
      <c r="BV341" s="53"/>
      <c r="BW341" s="53"/>
      <c r="BX341" s="53"/>
      <c r="BY341" s="53"/>
      <c r="BZ341" s="53"/>
      <c r="CA341" s="53"/>
      <c r="CC341" s="53"/>
      <c r="CD341" s="53"/>
      <c r="CE341" s="53"/>
    </row>
    <row r="342" spans="10:83" x14ac:dyDescent="0.35">
      <c r="J342" s="2"/>
      <c r="K342" s="2"/>
      <c r="L342" s="2"/>
      <c r="M342" s="2"/>
      <c r="N342" s="2"/>
      <c r="BO342" s="53"/>
      <c r="BP342" s="53"/>
      <c r="BQ342" s="53"/>
      <c r="BR342" s="53"/>
      <c r="BS342" s="53"/>
      <c r="BU342" s="53"/>
      <c r="BV342" s="53"/>
      <c r="BW342" s="53"/>
      <c r="BX342" s="53"/>
      <c r="BY342" s="53"/>
      <c r="BZ342" s="53"/>
      <c r="CA342" s="53"/>
      <c r="CC342" s="53"/>
      <c r="CD342" s="53"/>
      <c r="CE342" s="53"/>
    </row>
    <row r="343" spans="10:83" x14ac:dyDescent="0.35">
      <c r="J343" s="2"/>
      <c r="K343" s="2"/>
      <c r="L343" s="2"/>
      <c r="M343" s="2"/>
      <c r="N343" s="2"/>
      <c r="BO343" s="53"/>
      <c r="BP343" s="53"/>
      <c r="BQ343" s="53"/>
      <c r="BR343" s="53"/>
      <c r="BS343" s="53"/>
      <c r="BU343" s="53"/>
      <c r="BV343" s="53"/>
      <c r="BW343" s="53"/>
      <c r="BX343" s="53"/>
      <c r="BY343" s="53"/>
      <c r="BZ343" s="53"/>
      <c r="CA343" s="53"/>
      <c r="CC343" s="53"/>
      <c r="CD343" s="53"/>
      <c r="CE343" s="53"/>
    </row>
    <row r="344" spans="10:83" x14ac:dyDescent="0.35">
      <c r="J344" s="2"/>
      <c r="K344" s="2"/>
      <c r="L344" s="2"/>
      <c r="M344" s="2"/>
      <c r="N344" s="2"/>
      <c r="BO344" s="53"/>
      <c r="BP344" s="53"/>
      <c r="BQ344" s="53"/>
      <c r="BR344" s="53"/>
      <c r="BS344" s="53"/>
      <c r="BU344" s="53"/>
      <c r="BV344" s="53"/>
      <c r="BW344" s="53"/>
      <c r="BX344" s="53"/>
      <c r="BY344" s="53"/>
      <c r="BZ344" s="53"/>
      <c r="CA344" s="53"/>
      <c r="CC344" s="53"/>
      <c r="CD344" s="53"/>
      <c r="CE344" s="53"/>
    </row>
    <row r="345" spans="10:83" x14ac:dyDescent="0.35">
      <c r="J345" s="2"/>
      <c r="K345" s="2"/>
      <c r="L345" s="2"/>
      <c r="M345" s="2"/>
      <c r="N345" s="2"/>
      <c r="BO345" s="53"/>
      <c r="BP345" s="53"/>
      <c r="BQ345" s="53"/>
      <c r="BR345" s="53"/>
      <c r="BS345" s="53"/>
      <c r="BU345" s="53"/>
      <c r="BV345" s="53"/>
      <c r="BW345" s="53"/>
      <c r="BX345" s="53"/>
      <c r="BY345" s="53"/>
      <c r="BZ345" s="53"/>
      <c r="CA345" s="53"/>
      <c r="CC345" s="53"/>
      <c r="CD345" s="53"/>
      <c r="CE345" s="53"/>
    </row>
    <row r="346" spans="10:83" x14ac:dyDescent="0.35">
      <c r="J346" s="2"/>
      <c r="K346" s="2"/>
      <c r="L346" s="2"/>
      <c r="M346" s="2"/>
      <c r="N346" s="2"/>
      <c r="BO346" s="53"/>
      <c r="BP346" s="53"/>
      <c r="BQ346" s="53"/>
      <c r="BR346" s="53"/>
      <c r="BS346" s="53"/>
      <c r="BU346" s="53"/>
      <c r="BV346" s="53"/>
      <c r="BW346" s="53"/>
      <c r="BX346" s="53"/>
      <c r="BY346" s="53"/>
      <c r="BZ346" s="53"/>
      <c r="CA346" s="53"/>
      <c r="CC346" s="53"/>
      <c r="CD346" s="53"/>
      <c r="CE346" s="53"/>
    </row>
    <row r="347" spans="10:83" x14ac:dyDescent="0.35">
      <c r="J347" s="2"/>
      <c r="K347" s="2"/>
      <c r="L347" s="2"/>
      <c r="M347" s="2"/>
      <c r="N347" s="2"/>
      <c r="BO347" s="53"/>
      <c r="BP347" s="53"/>
      <c r="BQ347" s="53"/>
      <c r="BR347" s="53"/>
      <c r="BS347" s="53"/>
      <c r="BU347" s="53"/>
      <c r="BV347" s="53"/>
      <c r="BW347" s="53"/>
      <c r="BX347" s="53"/>
      <c r="BY347" s="53"/>
      <c r="BZ347" s="53"/>
      <c r="CA347" s="53"/>
      <c r="CC347" s="53"/>
      <c r="CD347" s="53"/>
      <c r="CE347" s="53"/>
    </row>
    <row r="348" spans="10:83" x14ac:dyDescent="0.35">
      <c r="J348" s="2"/>
      <c r="K348" s="2"/>
      <c r="L348" s="2"/>
      <c r="M348" s="2"/>
      <c r="N348" s="2"/>
      <c r="BO348" s="53"/>
      <c r="BP348" s="53"/>
      <c r="BQ348" s="53"/>
      <c r="BR348" s="53"/>
      <c r="BS348" s="53"/>
      <c r="BU348" s="53"/>
      <c r="BV348" s="53"/>
      <c r="BW348" s="53"/>
      <c r="BX348" s="53"/>
      <c r="BY348" s="53"/>
      <c r="BZ348" s="53"/>
      <c r="CA348" s="53"/>
      <c r="CC348" s="53"/>
      <c r="CD348" s="53"/>
      <c r="CE348" s="53"/>
    </row>
    <row r="349" spans="10:83" x14ac:dyDescent="0.35">
      <c r="J349" s="2"/>
      <c r="K349" s="2"/>
      <c r="L349" s="2"/>
      <c r="M349" s="2"/>
      <c r="N349" s="2"/>
      <c r="BO349" s="53"/>
      <c r="BP349" s="53"/>
      <c r="BQ349" s="53"/>
      <c r="BR349" s="53"/>
      <c r="BS349" s="53"/>
      <c r="BU349" s="53"/>
      <c r="BV349" s="53"/>
      <c r="BW349" s="53"/>
      <c r="BX349" s="53"/>
      <c r="BY349" s="53"/>
      <c r="BZ349" s="53"/>
      <c r="CA349" s="53"/>
      <c r="CC349" s="53"/>
      <c r="CD349" s="53"/>
      <c r="CE349" s="53"/>
    </row>
    <row r="350" spans="10:83" x14ac:dyDescent="0.35">
      <c r="J350" s="2"/>
      <c r="K350" s="2"/>
      <c r="L350" s="2"/>
      <c r="M350" s="2"/>
      <c r="N350" s="2"/>
      <c r="BO350" s="53"/>
      <c r="BP350" s="53"/>
      <c r="BQ350" s="53"/>
      <c r="BR350" s="53"/>
      <c r="BS350" s="53"/>
      <c r="BU350" s="53"/>
      <c r="BV350" s="53"/>
      <c r="BW350" s="53"/>
      <c r="BX350" s="53"/>
      <c r="BY350" s="53"/>
      <c r="BZ350" s="53"/>
      <c r="CA350" s="53"/>
      <c r="CC350" s="53"/>
      <c r="CD350" s="53"/>
      <c r="CE350" s="53"/>
    </row>
    <row r="351" spans="10:83" x14ac:dyDescent="0.35">
      <c r="J351" s="2"/>
      <c r="K351" s="2"/>
      <c r="L351" s="2"/>
      <c r="M351" s="2"/>
      <c r="N351" s="2"/>
      <c r="BO351" s="53"/>
      <c r="BP351" s="53"/>
      <c r="BQ351" s="53"/>
      <c r="BR351" s="53"/>
      <c r="BS351" s="53"/>
      <c r="BU351" s="53"/>
      <c r="BV351" s="53"/>
      <c r="BW351" s="53"/>
      <c r="BX351" s="53"/>
      <c r="BY351" s="53"/>
      <c r="BZ351" s="53"/>
      <c r="CA351" s="53"/>
      <c r="CC351" s="53"/>
      <c r="CD351" s="53"/>
      <c r="CE351" s="53"/>
    </row>
    <row r="352" spans="10:83" x14ac:dyDescent="0.35">
      <c r="J352" s="2"/>
      <c r="K352" s="2"/>
      <c r="L352" s="2"/>
      <c r="M352" s="2"/>
      <c r="N352" s="2"/>
      <c r="BO352" s="53"/>
      <c r="BP352" s="53"/>
      <c r="BQ352" s="53"/>
      <c r="BR352" s="53"/>
      <c r="BS352" s="53"/>
      <c r="BU352" s="53"/>
      <c r="BV352" s="53"/>
      <c r="BW352" s="53"/>
      <c r="BX352" s="53"/>
      <c r="BY352" s="53"/>
      <c r="BZ352" s="53"/>
      <c r="CA352" s="53"/>
      <c r="CC352" s="53"/>
      <c r="CD352" s="53"/>
      <c r="CE352" s="53"/>
    </row>
    <row r="353" spans="10:83" x14ac:dyDescent="0.35">
      <c r="J353" s="2"/>
      <c r="K353" s="2"/>
      <c r="L353" s="2"/>
      <c r="M353" s="2"/>
      <c r="N353" s="2"/>
      <c r="BO353" s="53"/>
      <c r="BP353" s="53"/>
      <c r="BQ353" s="53"/>
      <c r="BR353" s="53"/>
      <c r="BS353" s="53"/>
      <c r="BU353" s="53"/>
      <c r="BV353" s="53"/>
      <c r="BW353" s="53"/>
      <c r="BX353" s="53"/>
      <c r="BY353" s="53"/>
      <c r="BZ353" s="53"/>
      <c r="CA353" s="53"/>
      <c r="CC353" s="53"/>
      <c r="CD353" s="53"/>
      <c r="CE353" s="53"/>
    </row>
    <row r="354" spans="10:83" x14ac:dyDescent="0.35">
      <c r="J354" s="2"/>
      <c r="K354" s="2"/>
      <c r="L354" s="2"/>
      <c r="M354" s="2"/>
      <c r="N354" s="2"/>
      <c r="BO354" s="53"/>
      <c r="BP354" s="53"/>
      <c r="BQ354" s="53"/>
      <c r="BR354" s="53"/>
      <c r="BS354" s="53"/>
      <c r="BU354" s="53"/>
      <c r="BV354" s="53"/>
      <c r="BW354" s="53"/>
      <c r="BX354" s="53"/>
      <c r="BY354" s="53"/>
      <c r="BZ354" s="53"/>
      <c r="CA354" s="53"/>
      <c r="CC354" s="53"/>
      <c r="CD354" s="53"/>
      <c r="CE354" s="53"/>
    </row>
    <row r="355" spans="10:83" x14ac:dyDescent="0.35">
      <c r="J355" s="2"/>
      <c r="K355" s="2"/>
      <c r="L355" s="2"/>
      <c r="M355" s="2"/>
      <c r="N355" s="2"/>
      <c r="BO355" s="53"/>
      <c r="BP355" s="53"/>
      <c r="BQ355" s="53"/>
      <c r="BR355" s="53"/>
      <c r="BS355" s="53"/>
      <c r="BU355" s="53"/>
      <c r="BV355" s="53"/>
      <c r="BW355" s="53"/>
      <c r="BX355" s="53"/>
      <c r="BY355" s="53"/>
      <c r="BZ355" s="53"/>
      <c r="CA355" s="53"/>
      <c r="CC355" s="53"/>
      <c r="CD355" s="53"/>
      <c r="CE355" s="53"/>
    </row>
    <row r="356" spans="10:83" x14ac:dyDescent="0.35">
      <c r="J356" s="2"/>
      <c r="K356" s="2"/>
      <c r="L356" s="2"/>
      <c r="M356" s="2"/>
      <c r="N356" s="2"/>
      <c r="BO356" s="53"/>
      <c r="BP356" s="53"/>
      <c r="BQ356" s="53"/>
      <c r="BR356" s="53"/>
      <c r="BS356" s="53"/>
      <c r="BU356" s="53"/>
      <c r="BV356" s="53"/>
      <c r="BW356" s="53"/>
      <c r="BX356" s="53"/>
      <c r="BY356" s="53"/>
      <c r="BZ356" s="53"/>
      <c r="CA356" s="53"/>
      <c r="CC356" s="53"/>
      <c r="CD356" s="53"/>
      <c r="CE356" s="53"/>
    </row>
    <row r="357" spans="10:83" x14ac:dyDescent="0.35">
      <c r="J357" s="2"/>
      <c r="K357" s="2"/>
      <c r="L357" s="2"/>
      <c r="M357" s="2"/>
      <c r="N357" s="2"/>
      <c r="BO357" s="53"/>
      <c r="BP357" s="53"/>
      <c r="BQ357" s="53"/>
      <c r="BR357" s="53"/>
      <c r="BS357" s="53"/>
      <c r="BU357" s="53"/>
      <c r="BV357" s="53"/>
      <c r="BW357" s="53"/>
      <c r="BX357" s="53"/>
      <c r="BY357" s="53"/>
      <c r="BZ357" s="53"/>
      <c r="CA357" s="53"/>
      <c r="CC357" s="53"/>
      <c r="CD357" s="53"/>
      <c r="CE357" s="53"/>
    </row>
    <row r="358" spans="10:83" x14ac:dyDescent="0.35">
      <c r="J358" s="2"/>
      <c r="K358" s="2"/>
      <c r="L358" s="2"/>
      <c r="M358" s="2"/>
      <c r="N358" s="2"/>
      <c r="BO358" s="53"/>
      <c r="BP358" s="53"/>
      <c r="BQ358" s="53"/>
      <c r="BR358" s="53"/>
      <c r="BS358" s="53"/>
      <c r="BU358" s="53"/>
      <c r="BV358" s="53"/>
      <c r="BW358" s="53"/>
      <c r="BX358" s="53"/>
      <c r="BY358" s="53"/>
      <c r="BZ358" s="53"/>
      <c r="CA358" s="53"/>
      <c r="CC358" s="53"/>
      <c r="CD358" s="53"/>
      <c r="CE358" s="53"/>
    </row>
    <row r="359" spans="10:83" x14ac:dyDescent="0.35">
      <c r="J359" s="2"/>
      <c r="K359" s="2"/>
      <c r="L359" s="2"/>
      <c r="M359" s="2"/>
      <c r="N359" s="2"/>
      <c r="BO359" s="53"/>
      <c r="BP359" s="53"/>
      <c r="BQ359" s="53"/>
      <c r="BR359" s="53"/>
      <c r="BS359" s="53"/>
      <c r="BU359" s="53"/>
      <c r="BV359" s="53"/>
      <c r="BW359" s="53"/>
      <c r="BX359" s="53"/>
      <c r="BY359" s="53"/>
      <c r="BZ359" s="53"/>
      <c r="CA359" s="53"/>
      <c r="CC359" s="53"/>
      <c r="CD359" s="53"/>
      <c r="CE359" s="53"/>
    </row>
    <row r="360" spans="10:83" x14ac:dyDescent="0.35">
      <c r="J360" s="2"/>
      <c r="K360" s="2"/>
      <c r="L360" s="2"/>
      <c r="M360" s="2"/>
      <c r="N360" s="2"/>
      <c r="BO360" s="53"/>
      <c r="BP360" s="53"/>
      <c r="BQ360" s="53"/>
      <c r="BR360" s="53"/>
      <c r="BS360" s="53"/>
      <c r="BU360" s="53"/>
      <c r="BV360" s="53"/>
      <c r="BW360" s="53"/>
      <c r="BX360" s="53"/>
      <c r="BY360" s="53"/>
      <c r="BZ360" s="53"/>
      <c r="CA360" s="53"/>
      <c r="CC360" s="53"/>
      <c r="CD360" s="53"/>
      <c r="CE360" s="53"/>
    </row>
    <row r="361" spans="10:83" x14ac:dyDescent="0.35">
      <c r="J361" s="2"/>
      <c r="K361" s="2"/>
      <c r="L361" s="2"/>
      <c r="M361" s="2"/>
      <c r="N361" s="2"/>
      <c r="BO361" s="53"/>
      <c r="BP361" s="53"/>
      <c r="BQ361" s="53"/>
      <c r="BR361" s="53"/>
      <c r="BS361" s="53"/>
      <c r="BU361" s="53"/>
      <c r="BV361" s="53"/>
      <c r="BW361" s="53"/>
      <c r="BX361" s="53"/>
      <c r="BY361" s="53"/>
      <c r="BZ361" s="53"/>
      <c r="CA361" s="53"/>
      <c r="CC361" s="53"/>
      <c r="CD361" s="53"/>
      <c r="CE361" s="53"/>
    </row>
    <row r="362" spans="10:83" x14ac:dyDescent="0.35">
      <c r="J362" s="2"/>
      <c r="K362" s="2"/>
      <c r="L362" s="2"/>
      <c r="M362" s="2"/>
      <c r="N362" s="2"/>
      <c r="BO362" s="53"/>
      <c r="BP362" s="53"/>
      <c r="BQ362" s="53"/>
      <c r="BR362" s="53"/>
      <c r="BS362" s="53"/>
      <c r="BU362" s="53"/>
      <c r="BV362" s="53"/>
      <c r="BW362" s="53"/>
      <c r="BX362" s="53"/>
      <c r="BY362" s="53"/>
      <c r="BZ362" s="53"/>
      <c r="CA362" s="53"/>
      <c r="CC362" s="53"/>
      <c r="CD362" s="53"/>
      <c r="CE362" s="53"/>
    </row>
    <row r="363" spans="10:83" x14ac:dyDescent="0.35">
      <c r="J363" s="2"/>
      <c r="K363" s="2"/>
      <c r="L363" s="2"/>
      <c r="M363" s="2"/>
      <c r="N363" s="2"/>
      <c r="BO363" s="53"/>
      <c r="BP363" s="53"/>
      <c r="BQ363" s="53"/>
      <c r="BR363" s="53"/>
      <c r="BS363" s="53"/>
      <c r="BU363" s="53"/>
      <c r="BV363" s="53"/>
      <c r="BW363" s="53"/>
      <c r="BX363" s="53"/>
      <c r="BY363" s="53"/>
      <c r="BZ363" s="53"/>
      <c r="CA363" s="53"/>
      <c r="CC363" s="53"/>
      <c r="CD363" s="53"/>
      <c r="CE363" s="53"/>
    </row>
    <row r="364" spans="10:83" x14ac:dyDescent="0.35">
      <c r="J364" s="2"/>
      <c r="K364" s="2"/>
      <c r="L364" s="2"/>
      <c r="M364" s="2"/>
      <c r="N364" s="2"/>
      <c r="BO364" s="53"/>
      <c r="BP364" s="53"/>
      <c r="BQ364" s="53"/>
      <c r="BR364" s="53"/>
      <c r="BS364" s="53"/>
      <c r="BU364" s="53"/>
      <c r="BV364" s="53"/>
      <c r="BW364" s="53"/>
      <c r="BX364" s="53"/>
      <c r="BY364" s="53"/>
      <c r="BZ364" s="53"/>
      <c r="CA364" s="53"/>
      <c r="CC364" s="53"/>
      <c r="CD364" s="53"/>
      <c r="CE364" s="53"/>
    </row>
    <row r="365" spans="10:83" x14ac:dyDescent="0.35">
      <c r="J365" s="2"/>
      <c r="K365" s="2"/>
      <c r="L365" s="2"/>
      <c r="M365" s="2"/>
      <c r="N365" s="2"/>
      <c r="BO365" s="53"/>
      <c r="BP365" s="53"/>
      <c r="BQ365" s="53"/>
      <c r="BR365" s="53"/>
      <c r="BS365" s="53"/>
      <c r="BU365" s="53"/>
      <c r="BV365" s="53"/>
      <c r="BW365" s="53"/>
      <c r="BX365" s="53"/>
      <c r="BY365" s="53"/>
      <c r="BZ365" s="53"/>
      <c r="CA365" s="53"/>
      <c r="CC365" s="53"/>
      <c r="CD365" s="53"/>
      <c r="CE365" s="53"/>
    </row>
    <row r="366" spans="10:83" x14ac:dyDescent="0.35">
      <c r="J366" s="2"/>
      <c r="K366" s="2"/>
      <c r="L366" s="2"/>
      <c r="M366" s="2"/>
      <c r="N366" s="2"/>
      <c r="BO366" s="53"/>
      <c r="BP366" s="53"/>
      <c r="BQ366" s="53"/>
      <c r="BR366" s="53"/>
      <c r="BS366" s="53"/>
      <c r="BU366" s="53"/>
      <c r="BV366" s="53"/>
      <c r="BW366" s="53"/>
      <c r="BX366" s="53"/>
      <c r="BY366" s="53"/>
      <c r="BZ366" s="53"/>
      <c r="CA366" s="53"/>
      <c r="CC366" s="53"/>
      <c r="CD366" s="53"/>
      <c r="CE366" s="53"/>
    </row>
    <row r="367" spans="10:83" x14ac:dyDescent="0.35">
      <c r="J367" s="2"/>
      <c r="K367" s="2"/>
      <c r="L367" s="2"/>
      <c r="M367" s="2"/>
      <c r="N367" s="2"/>
      <c r="BO367" s="53"/>
      <c r="BP367" s="53"/>
      <c r="BQ367" s="53"/>
      <c r="BR367" s="53"/>
      <c r="BS367" s="53"/>
      <c r="BU367" s="53"/>
      <c r="BV367" s="53"/>
      <c r="BW367" s="53"/>
      <c r="BX367" s="53"/>
      <c r="BY367" s="53"/>
      <c r="BZ367" s="53"/>
      <c r="CA367" s="53"/>
      <c r="CC367" s="53"/>
      <c r="CD367" s="53"/>
      <c r="CE367" s="53"/>
    </row>
    <row r="368" spans="10:83" x14ac:dyDescent="0.35">
      <c r="J368" s="2"/>
      <c r="K368" s="2"/>
      <c r="L368" s="2"/>
      <c r="M368" s="2"/>
      <c r="N368" s="2"/>
      <c r="BO368" s="53"/>
      <c r="BP368" s="53"/>
      <c r="BQ368" s="53"/>
      <c r="BR368" s="53"/>
      <c r="BS368" s="53"/>
      <c r="BU368" s="53"/>
      <c r="BV368" s="53"/>
      <c r="BW368" s="53"/>
      <c r="BX368" s="53"/>
      <c r="BY368" s="53"/>
      <c r="BZ368" s="53"/>
      <c r="CA368" s="53"/>
      <c r="CC368" s="53"/>
      <c r="CD368" s="53"/>
      <c r="CE368" s="53"/>
    </row>
    <row r="369" spans="10:83" x14ac:dyDescent="0.35">
      <c r="J369" s="2"/>
      <c r="K369" s="2"/>
      <c r="L369" s="2"/>
      <c r="M369" s="2"/>
      <c r="N369" s="2"/>
      <c r="BO369" s="53"/>
      <c r="BP369" s="53"/>
      <c r="BQ369" s="53"/>
      <c r="BR369" s="53"/>
      <c r="BS369" s="53"/>
      <c r="BU369" s="53"/>
      <c r="BV369" s="53"/>
      <c r="BW369" s="53"/>
      <c r="BX369" s="53"/>
      <c r="BY369" s="53"/>
      <c r="BZ369" s="53"/>
      <c r="CA369" s="53"/>
      <c r="CC369" s="53"/>
      <c r="CD369" s="53"/>
      <c r="CE369" s="53"/>
    </row>
    <row r="370" spans="10:83" x14ac:dyDescent="0.35">
      <c r="J370" s="2"/>
      <c r="K370" s="2"/>
      <c r="L370" s="2"/>
      <c r="M370" s="2"/>
      <c r="N370" s="2"/>
      <c r="BO370" s="53"/>
      <c r="BP370" s="53"/>
      <c r="BQ370" s="53"/>
      <c r="BR370" s="53"/>
      <c r="BS370" s="53"/>
      <c r="BU370" s="53"/>
      <c r="BV370" s="53"/>
      <c r="BW370" s="53"/>
      <c r="BX370" s="53"/>
      <c r="BY370" s="53"/>
      <c r="BZ370" s="53"/>
      <c r="CA370" s="53"/>
      <c r="CC370" s="53"/>
      <c r="CD370" s="53"/>
      <c r="CE370" s="53"/>
    </row>
    <row r="371" spans="10:83" x14ac:dyDescent="0.35">
      <c r="J371" s="2"/>
      <c r="K371" s="2"/>
      <c r="L371" s="2"/>
      <c r="M371" s="2"/>
      <c r="N371" s="2"/>
      <c r="BO371" s="53"/>
      <c r="BP371" s="53"/>
      <c r="BQ371" s="53"/>
      <c r="BR371" s="53"/>
      <c r="BS371" s="53"/>
      <c r="BU371" s="53"/>
      <c r="BV371" s="53"/>
      <c r="BW371" s="53"/>
      <c r="BX371" s="53"/>
      <c r="BY371" s="53"/>
      <c r="BZ371" s="53"/>
      <c r="CA371" s="53"/>
      <c r="CC371" s="53"/>
      <c r="CD371" s="53"/>
      <c r="CE371" s="53"/>
    </row>
    <row r="372" spans="10:83" x14ac:dyDescent="0.35">
      <c r="J372" s="2"/>
      <c r="K372" s="2"/>
      <c r="L372" s="2"/>
      <c r="M372" s="2"/>
      <c r="N372" s="2"/>
      <c r="BO372" s="53"/>
      <c r="BP372" s="53"/>
      <c r="BQ372" s="53"/>
      <c r="BR372" s="53"/>
      <c r="BS372" s="53"/>
      <c r="BU372" s="53"/>
      <c r="BV372" s="53"/>
      <c r="BW372" s="53"/>
      <c r="BX372" s="53"/>
      <c r="BY372" s="53"/>
      <c r="BZ372" s="53"/>
      <c r="CA372" s="53"/>
      <c r="CC372" s="53"/>
      <c r="CD372" s="53"/>
      <c r="CE372" s="53"/>
    </row>
    <row r="373" spans="10:83" x14ac:dyDescent="0.35">
      <c r="J373" s="2"/>
      <c r="K373" s="2"/>
      <c r="L373" s="2"/>
      <c r="M373" s="2"/>
      <c r="N373" s="2"/>
      <c r="BO373" s="53"/>
      <c r="BP373" s="53"/>
      <c r="BQ373" s="53"/>
      <c r="BR373" s="53"/>
      <c r="BS373" s="53"/>
      <c r="BU373" s="53"/>
      <c r="BV373" s="53"/>
      <c r="BW373" s="53"/>
      <c r="BX373" s="53"/>
      <c r="BY373" s="53"/>
      <c r="BZ373" s="53"/>
      <c r="CA373" s="53"/>
      <c r="CC373" s="53"/>
      <c r="CD373" s="53"/>
      <c r="CE373" s="53"/>
    </row>
    <row r="374" spans="10:83" x14ac:dyDescent="0.35">
      <c r="J374" s="2"/>
      <c r="K374" s="2"/>
      <c r="L374" s="2"/>
      <c r="M374" s="2"/>
      <c r="N374" s="2"/>
      <c r="BO374" s="53"/>
      <c r="BP374" s="53"/>
      <c r="BQ374" s="53"/>
      <c r="BR374" s="53"/>
      <c r="BS374" s="53"/>
      <c r="BU374" s="53"/>
      <c r="BV374" s="53"/>
      <c r="BW374" s="53"/>
      <c r="BX374" s="53"/>
      <c r="BY374" s="53"/>
      <c r="BZ374" s="53"/>
      <c r="CA374" s="53"/>
      <c r="CC374" s="53"/>
      <c r="CD374" s="53"/>
      <c r="CE374" s="53"/>
    </row>
    <row r="375" spans="10:83" x14ac:dyDescent="0.35">
      <c r="J375" s="2"/>
      <c r="K375" s="2"/>
      <c r="L375" s="2"/>
      <c r="M375" s="2"/>
      <c r="N375" s="2"/>
      <c r="BO375" s="53"/>
      <c r="BP375" s="53"/>
      <c r="BQ375" s="53"/>
      <c r="BR375" s="53"/>
      <c r="BS375" s="53"/>
      <c r="BU375" s="53"/>
      <c r="BV375" s="53"/>
      <c r="BW375" s="53"/>
      <c r="BX375" s="53"/>
      <c r="BY375" s="53"/>
      <c r="BZ375" s="53"/>
      <c r="CA375" s="53"/>
      <c r="CC375" s="53"/>
      <c r="CD375" s="53"/>
      <c r="CE375" s="53"/>
    </row>
    <row r="376" spans="10:83" x14ac:dyDescent="0.35">
      <c r="J376" s="2"/>
      <c r="K376" s="2"/>
      <c r="L376" s="2"/>
      <c r="M376" s="2"/>
      <c r="N376" s="2"/>
      <c r="BO376" s="53"/>
      <c r="BP376" s="53"/>
      <c r="BQ376" s="53"/>
      <c r="BR376" s="53"/>
      <c r="BS376" s="53"/>
      <c r="BU376" s="53"/>
      <c r="BV376" s="53"/>
      <c r="BW376" s="53"/>
      <c r="BX376" s="53"/>
      <c r="BY376" s="53"/>
      <c r="BZ376" s="53"/>
      <c r="CA376" s="53"/>
      <c r="CC376" s="53"/>
      <c r="CD376" s="53"/>
      <c r="CE376" s="53"/>
    </row>
    <row r="377" spans="10:83" x14ac:dyDescent="0.35">
      <c r="J377" s="2"/>
      <c r="K377" s="2"/>
      <c r="L377" s="2"/>
      <c r="M377" s="2"/>
      <c r="N377" s="2"/>
      <c r="BO377" s="53"/>
      <c r="BP377" s="53"/>
      <c r="BQ377" s="53"/>
      <c r="BR377" s="53"/>
      <c r="BS377" s="53"/>
      <c r="BU377" s="53"/>
      <c r="BV377" s="53"/>
      <c r="BW377" s="53"/>
      <c r="BX377" s="53"/>
      <c r="BY377" s="53"/>
      <c r="BZ377" s="53"/>
      <c r="CA377" s="53"/>
      <c r="CC377" s="53"/>
      <c r="CD377" s="53"/>
      <c r="CE377" s="53"/>
    </row>
    <row r="378" spans="10:83" x14ac:dyDescent="0.35">
      <c r="J378" s="2"/>
      <c r="K378" s="2"/>
      <c r="L378" s="2"/>
      <c r="M378" s="2"/>
      <c r="N378" s="2"/>
      <c r="BO378" s="53"/>
      <c r="BP378" s="53"/>
      <c r="BQ378" s="53"/>
      <c r="BR378" s="53"/>
      <c r="BS378" s="53"/>
      <c r="BU378" s="53"/>
      <c r="BV378" s="53"/>
      <c r="BW378" s="53"/>
      <c r="BX378" s="53"/>
      <c r="BY378" s="53"/>
      <c r="BZ378" s="53"/>
      <c r="CA378" s="53"/>
      <c r="CC378" s="53"/>
      <c r="CD378" s="53"/>
      <c r="CE378" s="53"/>
    </row>
    <row r="379" spans="10:83" x14ac:dyDescent="0.35">
      <c r="J379" s="2"/>
      <c r="K379" s="2"/>
      <c r="L379" s="2"/>
      <c r="M379" s="2"/>
      <c r="N379" s="2"/>
      <c r="BO379" s="53"/>
      <c r="BP379" s="53"/>
      <c r="BQ379" s="53"/>
      <c r="BR379" s="53"/>
      <c r="BS379" s="53"/>
      <c r="BU379" s="53"/>
      <c r="BV379" s="53"/>
      <c r="BW379" s="53"/>
      <c r="BX379" s="53"/>
      <c r="BY379" s="53"/>
      <c r="BZ379" s="53"/>
      <c r="CA379" s="53"/>
      <c r="CC379" s="53"/>
      <c r="CD379" s="53"/>
      <c r="CE379" s="53"/>
    </row>
    <row r="380" spans="10:83" x14ac:dyDescent="0.35">
      <c r="J380" s="2"/>
      <c r="K380" s="2"/>
      <c r="L380" s="2"/>
      <c r="M380" s="2"/>
      <c r="N380" s="2"/>
      <c r="BO380" s="53"/>
      <c r="BP380" s="53"/>
      <c r="BQ380" s="53"/>
      <c r="BR380" s="53"/>
      <c r="BS380" s="53"/>
      <c r="BU380" s="53"/>
      <c r="BV380" s="53"/>
      <c r="BW380" s="53"/>
      <c r="BX380" s="53"/>
      <c r="BY380" s="53"/>
      <c r="BZ380" s="53"/>
      <c r="CA380" s="53"/>
      <c r="CC380" s="53"/>
      <c r="CD380" s="53"/>
      <c r="CE380" s="53"/>
    </row>
    <row r="381" spans="10:83" x14ac:dyDescent="0.35">
      <c r="J381" s="2"/>
      <c r="K381" s="2"/>
      <c r="L381" s="2"/>
      <c r="M381" s="2"/>
      <c r="N381" s="2"/>
      <c r="BO381" s="53"/>
      <c r="BP381" s="53"/>
      <c r="BQ381" s="53"/>
      <c r="BR381" s="53"/>
      <c r="BS381" s="53"/>
      <c r="BU381" s="53"/>
      <c r="BV381" s="53"/>
      <c r="BW381" s="53"/>
      <c r="BX381" s="53"/>
      <c r="BY381" s="53"/>
      <c r="BZ381" s="53"/>
      <c r="CA381" s="53"/>
      <c r="CC381" s="53"/>
      <c r="CD381" s="53"/>
      <c r="CE381" s="53"/>
    </row>
    <row r="382" spans="10:83" x14ac:dyDescent="0.35">
      <c r="J382" s="2"/>
      <c r="K382" s="2"/>
      <c r="L382" s="2"/>
      <c r="M382" s="2"/>
      <c r="N382" s="2"/>
      <c r="BO382" s="53"/>
      <c r="BP382" s="53"/>
      <c r="BQ382" s="53"/>
      <c r="BR382" s="53"/>
      <c r="BS382" s="53"/>
      <c r="BU382" s="53"/>
      <c r="BV382" s="53"/>
      <c r="BW382" s="53"/>
      <c r="BX382" s="53"/>
      <c r="BY382" s="53"/>
      <c r="BZ382" s="53"/>
      <c r="CA382" s="53"/>
      <c r="CC382" s="53"/>
      <c r="CD382" s="53"/>
      <c r="CE382" s="53"/>
    </row>
    <row r="383" spans="10:83" x14ac:dyDescent="0.35">
      <c r="J383" s="2"/>
      <c r="K383" s="2"/>
      <c r="L383" s="2"/>
      <c r="M383" s="2"/>
      <c r="N383" s="2"/>
      <c r="BO383" s="53"/>
      <c r="BP383" s="53"/>
      <c r="BQ383" s="53"/>
      <c r="BR383" s="53"/>
      <c r="BS383" s="53"/>
      <c r="BU383" s="53"/>
      <c r="BV383" s="53"/>
      <c r="BW383" s="53"/>
      <c r="BX383" s="53"/>
      <c r="BY383" s="53"/>
      <c r="BZ383" s="53"/>
      <c r="CA383" s="53"/>
      <c r="CC383" s="53"/>
      <c r="CD383" s="53"/>
      <c r="CE383" s="53"/>
    </row>
    <row r="384" spans="10:83" x14ac:dyDescent="0.35">
      <c r="J384" s="2"/>
      <c r="K384" s="2"/>
      <c r="L384" s="2"/>
      <c r="M384" s="2"/>
      <c r="N384" s="2"/>
      <c r="BO384" s="53"/>
      <c r="BP384" s="53"/>
      <c r="BQ384" s="53"/>
      <c r="BR384" s="53"/>
      <c r="BS384" s="53"/>
      <c r="BU384" s="53"/>
      <c r="BV384" s="53"/>
      <c r="BW384" s="53"/>
      <c r="BX384" s="53"/>
      <c r="BY384" s="53"/>
      <c r="BZ384" s="53"/>
      <c r="CA384" s="53"/>
      <c r="CC384" s="53"/>
      <c r="CD384" s="53"/>
      <c r="CE384" s="53"/>
    </row>
    <row r="385" spans="10:83" x14ac:dyDescent="0.35">
      <c r="J385" s="2"/>
      <c r="K385" s="2"/>
      <c r="L385" s="2"/>
      <c r="M385" s="2"/>
      <c r="N385" s="2"/>
      <c r="BO385" s="53"/>
      <c r="BP385" s="53"/>
      <c r="BQ385" s="53"/>
      <c r="BR385" s="53"/>
      <c r="BS385" s="53"/>
      <c r="BU385" s="53"/>
      <c r="BV385" s="53"/>
      <c r="BW385" s="53"/>
      <c r="BX385" s="53"/>
      <c r="BY385" s="53"/>
      <c r="BZ385" s="53"/>
      <c r="CA385" s="53"/>
      <c r="CC385" s="53"/>
      <c r="CD385" s="53"/>
      <c r="CE385" s="53"/>
    </row>
    <row r="386" spans="10:83" x14ac:dyDescent="0.35">
      <c r="J386" s="2"/>
      <c r="K386" s="2"/>
      <c r="L386" s="2"/>
      <c r="M386" s="2"/>
      <c r="N386" s="2"/>
      <c r="BO386" s="53"/>
      <c r="BP386" s="53"/>
      <c r="BQ386" s="53"/>
      <c r="BR386" s="53"/>
      <c r="BS386" s="53"/>
      <c r="BU386" s="53"/>
      <c r="BV386" s="53"/>
      <c r="BW386" s="53"/>
      <c r="BX386" s="53"/>
      <c r="BY386" s="53"/>
      <c r="BZ386" s="53"/>
      <c r="CA386" s="53"/>
      <c r="CC386" s="53"/>
      <c r="CD386" s="53"/>
      <c r="CE386" s="53"/>
    </row>
    <row r="387" spans="10:83" x14ac:dyDescent="0.35">
      <c r="J387" s="2"/>
      <c r="K387" s="2"/>
      <c r="L387" s="2"/>
      <c r="M387" s="2"/>
      <c r="N387" s="2"/>
      <c r="BO387" s="53"/>
      <c r="BP387" s="53"/>
      <c r="BQ387" s="53"/>
      <c r="BR387" s="53"/>
      <c r="BS387" s="53"/>
      <c r="BU387" s="53"/>
      <c r="BV387" s="53"/>
      <c r="BW387" s="53"/>
      <c r="BX387" s="53"/>
      <c r="BY387" s="53"/>
      <c r="BZ387" s="53"/>
      <c r="CA387" s="53"/>
      <c r="CC387" s="53"/>
      <c r="CD387" s="53"/>
      <c r="CE387" s="53"/>
    </row>
    <row r="388" spans="10:83" x14ac:dyDescent="0.35">
      <c r="J388" s="2"/>
      <c r="K388" s="2"/>
      <c r="L388" s="2"/>
      <c r="M388" s="2"/>
      <c r="N388" s="2"/>
      <c r="BO388" s="53"/>
      <c r="BP388" s="53"/>
      <c r="BQ388" s="53"/>
      <c r="BR388" s="53"/>
      <c r="BS388" s="53"/>
      <c r="BU388" s="53"/>
      <c r="BV388" s="53"/>
      <c r="BW388" s="53"/>
      <c r="BX388" s="53"/>
      <c r="BY388" s="53"/>
      <c r="BZ388" s="53"/>
      <c r="CA388" s="53"/>
      <c r="CC388" s="53"/>
      <c r="CD388" s="53"/>
      <c r="CE388" s="53"/>
    </row>
    <row r="389" spans="10:83" x14ac:dyDescent="0.35">
      <c r="J389" s="2"/>
      <c r="K389" s="2"/>
      <c r="L389" s="2"/>
      <c r="M389" s="2"/>
      <c r="N389" s="2"/>
      <c r="BO389" s="53"/>
      <c r="BP389" s="53"/>
      <c r="BQ389" s="53"/>
      <c r="BR389" s="53"/>
      <c r="BS389" s="53"/>
      <c r="BU389" s="53"/>
      <c r="BV389" s="53"/>
      <c r="BW389" s="53"/>
      <c r="BX389" s="53"/>
      <c r="BY389" s="53"/>
      <c r="BZ389" s="53"/>
      <c r="CA389" s="53"/>
      <c r="CC389" s="53"/>
      <c r="CD389" s="53"/>
      <c r="CE389" s="53"/>
    </row>
    <row r="390" spans="10:83" x14ac:dyDescent="0.35">
      <c r="J390" s="2"/>
      <c r="K390" s="2"/>
      <c r="L390" s="2"/>
      <c r="M390" s="2"/>
      <c r="N390" s="2"/>
      <c r="BO390" s="53"/>
      <c r="BP390" s="53"/>
      <c r="BQ390" s="53"/>
      <c r="BR390" s="53"/>
      <c r="BS390" s="53"/>
      <c r="BU390" s="53"/>
      <c r="BV390" s="53"/>
      <c r="BW390" s="53"/>
      <c r="BX390" s="53"/>
      <c r="BY390" s="53"/>
      <c r="BZ390" s="53"/>
      <c r="CA390" s="53"/>
      <c r="CC390" s="53"/>
      <c r="CD390" s="53"/>
      <c r="CE390" s="53"/>
    </row>
    <row r="391" spans="10:83" x14ac:dyDescent="0.35">
      <c r="J391" s="2"/>
      <c r="K391" s="2"/>
      <c r="L391" s="2"/>
      <c r="M391" s="2"/>
      <c r="N391" s="2"/>
      <c r="BO391" s="53"/>
      <c r="BP391" s="53"/>
      <c r="BQ391" s="53"/>
      <c r="BR391" s="53"/>
      <c r="BS391" s="53"/>
      <c r="BU391" s="53"/>
      <c r="BV391" s="53"/>
      <c r="BW391" s="53"/>
      <c r="BX391" s="53"/>
      <c r="BY391" s="53"/>
      <c r="BZ391" s="53"/>
      <c r="CA391" s="53"/>
      <c r="CC391" s="53"/>
      <c r="CD391" s="53"/>
      <c r="CE391" s="53"/>
    </row>
    <row r="392" spans="10:83" x14ac:dyDescent="0.35">
      <c r="J392" s="2"/>
      <c r="K392" s="2"/>
      <c r="L392" s="2"/>
      <c r="M392" s="2"/>
      <c r="N392" s="2"/>
      <c r="BO392" s="53"/>
      <c r="BP392" s="53"/>
      <c r="BQ392" s="53"/>
      <c r="BR392" s="53"/>
      <c r="BS392" s="53"/>
      <c r="BU392" s="53"/>
      <c r="BV392" s="53"/>
      <c r="BW392" s="53"/>
      <c r="BX392" s="53"/>
      <c r="BY392" s="53"/>
      <c r="BZ392" s="53"/>
      <c r="CA392" s="53"/>
      <c r="CC392" s="53"/>
      <c r="CD392" s="53"/>
      <c r="CE392" s="53"/>
    </row>
    <row r="393" spans="10:83" x14ac:dyDescent="0.35">
      <c r="J393" s="2"/>
      <c r="K393" s="2"/>
      <c r="L393" s="2"/>
      <c r="M393" s="2"/>
      <c r="N393" s="2"/>
      <c r="BO393" s="53"/>
      <c r="BP393" s="53"/>
      <c r="BQ393" s="53"/>
      <c r="BR393" s="53"/>
      <c r="BS393" s="53"/>
      <c r="BU393" s="53"/>
      <c r="BV393" s="53"/>
      <c r="BW393" s="53"/>
      <c r="BX393" s="53"/>
      <c r="BY393" s="53"/>
      <c r="BZ393" s="53"/>
      <c r="CA393" s="53"/>
      <c r="CC393" s="53"/>
      <c r="CD393" s="53"/>
      <c r="CE393" s="53"/>
    </row>
    <row r="394" spans="10:83" x14ac:dyDescent="0.35">
      <c r="J394" s="2"/>
      <c r="K394" s="2"/>
      <c r="L394" s="2"/>
      <c r="M394" s="2"/>
      <c r="N394" s="2"/>
      <c r="BO394" s="53"/>
      <c r="BP394" s="53"/>
      <c r="BQ394" s="53"/>
      <c r="BR394" s="53"/>
      <c r="BS394" s="53"/>
      <c r="BU394" s="53"/>
      <c r="BV394" s="53"/>
      <c r="BW394" s="53"/>
      <c r="BX394" s="53"/>
      <c r="BY394" s="53"/>
      <c r="BZ394" s="53"/>
      <c r="CA394" s="53"/>
      <c r="CC394" s="53"/>
      <c r="CD394" s="53"/>
      <c r="CE394" s="53"/>
    </row>
    <row r="395" spans="10:83" x14ac:dyDescent="0.35">
      <c r="J395" s="2"/>
      <c r="K395" s="2"/>
      <c r="L395" s="2"/>
      <c r="M395" s="2"/>
      <c r="N395" s="2"/>
      <c r="BO395" s="53"/>
      <c r="BP395" s="53"/>
      <c r="BQ395" s="53"/>
      <c r="BR395" s="53"/>
      <c r="BS395" s="53"/>
      <c r="BU395" s="53"/>
      <c r="BV395" s="53"/>
      <c r="BW395" s="53"/>
      <c r="BX395" s="53"/>
      <c r="BY395" s="53"/>
      <c r="BZ395" s="53"/>
      <c r="CA395" s="53"/>
      <c r="CC395" s="53"/>
      <c r="CD395" s="53"/>
      <c r="CE395" s="53"/>
    </row>
    <row r="396" spans="10:83" x14ac:dyDescent="0.35">
      <c r="J396" s="2"/>
      <c r="K396" s="2"/>
      <c r="L396" s="2"/>
      <c r="M396" s="2"/>
      <c r="N396" s="2"/>
      <c r="BO396" s="53"/>
      <c r="BP396" s="53"/>
      <c r="BQ396" s="53"/>
      <c r="BR396" s="53"/>
      <c r="BS396" s="53"/>
      <c r="BU396" s="53"/>
      <c r="BV396" s="53"/>
      <c r="BW396" s="53"/>
      <c r="BX396" s="53"/>
      <c r="BY396" s="53"/>
      <c r="BZ396" s="53"/>
      <c r="CA396" s="53"/>
      <c r="CC396" s="53"/>
      <c r="CD396" s="53"/>
      <c r="CE396" s="53"/>
    </row>
    <row r="397" spans="10:83" x14ac:dyDescent="0.35">
      <c r="J397" s="2"/>
      <c r="K397" s="2"/>
      <c r="L397" s="2"/>
      <c r="M397" s="2"/>
      <c r="N397" s="2"/>
      <c r="BO397" s="53"/>
      <c r="BP397" s="53"/>
      <c r="BQ397" s="53"/>
      <c r="BR397" s="53"/>
      <c r="BS397" s="53"/>
      <c r="BU397" s="53"/>
      <c r="BV397" s="53"/>
      <c r="BW397" s="53"/>
      <c r="BX397" s="53"/>
      <c r="BY397" s="53"/>
      <c r="BZ397" s="53"/>
      <c r="CA397" s="53"/>
      <c r="CC397" s="53"/>
      <c r="CD397" s="53"/>
      <c r="CE397" s="53"/>
    </row>
    <row r="398" spans="10:83" x14ac:dyDescent="0.35">
      <c r="J398" s="2"/>
      <c r="K398" s="2"/>
      <c r="L398" s="2"/>
      <c r="M398" s="2"/>
      <c r="N398" s="2"/>
      <c r="BO398" s="53"/>
      <c r="BP398" s="53"/>
      <c r="BQ398" s="53"/>
      <c r="BR398" s="53"/>
      <c r="BS398" s="53"/>
      <c r="BU398" s="53"/>
      <c r="BV398" s="53"/>
      <c r="BW398" s="53"/>
      <c r="BX398" s="53"/>
      <c r="BY398" s="53"/>
      <c r="BZ398" s="53"/>
      <c r="CA398" s="53"/>
      <c r="CC398" s="53"/>
      <c r="CD398" s="53"/>
      <c r="CE398" s="53"/>
    </row>
    <row r="399" spans="10:83" x14ac:dyDescent="0.35">
      <c r="J399" s="2"/>
      <c r="K399" s="2"/>
      <c r="L399" s="2"/>
      <c r="M399" s="2"/>
      <c r="N399" s="2"/>
      <c r="BO399" s="53"/>
      <c r="BP399" s="53"/>
      <c r="BQ399" s="53"/>
      <c r="BR399" s="53"/>
      <c r="BS399" s="53"/>
      <c r="BU399" s="53"/>
      <c r="BV399" s="53"/>
      <c r="BW399" s="53"/>
      <c r="BX399" s="53"/>
      <c r="BY399" s="53"/>
      <c r="BZ399" s="53"/>
      <c r="CA399" s="53"/>
      <c r="CC399" s="53"/>
      <c r="CD399" s="53"/>
      <c r="CE399" s="53"/>
    </row>
    <row r="400" spans="10:83" x14ac:dyDescent="0.35">
      <c r="J400" s="2"/>
      <c r="K400" s="2"/>
      <c r="L400" s="2"/>
      <c r="M400" s="2"/>
      <c r="N400" s="2"/>
      <c r="BO400" s="53"/>
      <c r="BP400" s="53"/>
      <c r="BQ400" s="53"/>
      <c r="BR400" s="53"/>
      <c r="BS400" s="53"/>
      <c r="BU400" s="53"/>
      <c r="BV400" s="53"/>
      <c r="BW400" s="53"/>
      <c r="BX400" s="53"/>
      <c r="BY400" s="53"/>
      <c r="BZ400" s="53"/>
      <c r="CA400" s="53"/>
      <c r="CC400" s="53"/>
      <c r="CD400" s="53"/>
      <c r="CE400" s="53"/>
    </row>
    <row r="401" spans="10:83" x14ac:dyDescent="0.35">
      <c r="J401" s="2"/>
      <c r="K401" s="2"/>
      <c r="L401" s="2"/>
      <c r="M401" s="2"/>
      <c r="N401" s="2"/>
      <c r="BO401" s="53"/>
      <c r="BP401" s="53"/>
      <c r="BQ401" s="53"/>
      <c r="BR401" s="53"/>
      <c r="BS401" s="53"/>
      <c r="BU401" s="53"/>
      <c r="BV401" s="53"/>
      <c r="BW401" s="53"/>
      <c r="BX401" s="53"/>
      <c r="BY401" s="53"/>
      <c r="BZ401" s="53"/>
      <c r="CA401" s="53"/>
      <c r="CC401" s="53"/>
      <c r="CD401" s="53"/>
      <c r="CE401" s="53"/>
    </row>
    <row r="402" spans="10:83" x14ac:dyDescent="0.35">
      <c r="J402" s="2"/>
      <c r="K402" s="2"/>
      <c r="L402" s="2"/>
      <c r="M402" s="2"/>
      <c r="N402" s="2"/>
      <c r="BO402" s="53"/>
      <c r="BP402" s="53"/>
      <c r="BQ402" s="53"/>
      <c r="BR402" s="53"/>
      <c r="BS402" s="53"/>
      <c r="BU402" s="53"/>
      <c r="BV402" s="53"/>
      <c r="BW402" s="53"/>
      <c r="BX402" s="53"/>
      <c r="BY402" s="53"/>
      <c r="BZ402" s="53"/>
      <c r="CA402" s="53"/>
      <c r="CC402" s="53"/>
      <c r="CD402" s="53"/>
      <c r="CE402" s="53"/>
    </row>
    <row r="403" spans="10:83" x14ac:dyDescent="0.35">
      <c r="J403" s="2"/>
      <c r="K403" s="2"/>
      <c r="L403" s="2"/>
      <c r="M403" s="2"/>
      <c r="N403" s="2"/>
      <c r="BO403" s="53"/>
      <c r="BP403" s="53"/>
      <c r="BQ403" s="53"/>
      <c r="BR403" s="53"/>
      <c r="BS403" s="53"/>
      <c r="BU403" s="53"/>
      <c r="BV403" s="53"/>
      <c r="BW403" s="53"/>
      <c r="BX403" s="53"/>
      <c r="BY403" s="53"/>
      <c r="BZ403" s="53"/>
      <c r="CA403" s="53"/>
      <c r="CC403" s="53"/>
      <c r="CD403" s="53"/>
      <c r="CE403" s="53"/>
    </row>
    <row r="404" spans="10:83" x14ac:dyDescent="0.35">
      <c r="J404" s="2"/>
      <c r="K404" s="2"/>
      <c r="L404" s="2"/>
      <c r="M404" s="2"/>
      <c r="N404" s="2"/>
      <c r="BO404" s="53"/>
      <c r="BP404" s="53"/>
      <c r="BQ404" s="53"/>
      <c r="BR404" s="53"/>
      <c r="BS404" s="53"/>
      <c r="BU404" s="53"/>
      <c r="BV404" s="53"/>
      <c r="BW404" s="53"/>
      <c r="BX404" s="53"/>
      <c r="BY404" s="53"/>
      <c r="BZ404" s="53"/>
      <c r="CA404" s="53"/>
      <c r="CC404" s="53"/>
      <c r="CD404" s="53"/>
      <c r="CE404" s="53"/>
    </row>
    <row r="405" spans="10:83" x14ac:dyDescent="0.35">
      <c r="J405" s="2"/>
      <c r="K405" s="2"/>
      <c r="L405" s="2"/>
      <c r="M405" s="2"/>
      <c r="N405" s="2"/>
      <c r="BO405" s="53"/>
      <c r="BP405" s="53"/>
      <c r="BQ405" s="53"/>
      <c r="BR405" s="53"/>
      <c r="BS405" s="53"/>
      <c r="BU405" s="53"/>
      <c r="BV405" s="53"/>
      <c r="BW405" s="53"/>
      <c r="BX405" s="53"/>
      <c r="BY405" s="53"/>
      <c r="BZ405" s="53"/>
      <c r="CA405" s="53"/>
      <c r="CC405" s="53"/>
      <c r="CD405" s="53"/>
      <c r="CE405" s="53"/>
    </row>
    <row r="406" spans="10:83" x14ac:dyDescent="0.35">
      <c r="J406" s="2"/>
      <c r="K406" s="2"/>
      <c r="L406" s="2"/>
      <c r="M406" s="2"/>
      <c r="N406" s="2"/>
      <c r="BO406" s="53"/>
      <c r="BP406" s="53"/>
      <c r="BQ406" s="53"/>
      <c r="BR406" s="53"/>
      <c r="BS406" s="53"/>
      <c r="BU406" s="53"/>
      <c r="BV406" s="53"/>
      <c r="BW406" s="53"/>
      <c r="BX406" s="53"/>
      <c r="BY406" s="53"/>
      <c r="BZ406" s="53"/>
      <c r="CA406" s="53"/>
      <c r="CC406" s="53"/>
      <c r="CD406" s="53"/>
      <c r="CE406" s="53"/>
    </row>
    <row r="407" spans="10:83" x14ac:dyDescent="0.35">
      <c r="J407" s="2"/>
      <c r="K407" s="2"/>
      <c r="L407" s="2"/>
      <c r="M407" s="2"/>
      <c r="N407" s="2"/>
      <c r="BO407" s="53"/>
      <c r="BP407" s="53"/>
      <c r="BQ407" s="53"/>
      <c r="BR407" s="53"/>
      <c r="BS407" s="53"/>
      <c r="BU407" s="53"/>
      <c r="BV407" s="53"/>
      <c r="BW407" s="53"/>
      <c r="BX407" s="53"/>
      <c r="BY407" s="53"/>
      <c r="BZ407" s="53"/>
      <c r="CA407" s="53"/>
      <c r="CC407" s="53"/>
      <c r="CD407" s="53"/>
      <c r="CE407" s="53"/>
    </row>
    <row r="408" spans="10:83" x14ac:dyDescent="0.35">
      <c r="J408" s="2"/>
      <c r="K408" s="2"/>
      <c r="L408" s="2"/>
      <c r="M408" s="2"/>
      <c r="N408" s="2"/>
      <c r="BO408" s="53"/>
      <c r="BP408" s="53"/>
      <c r="BQ408" s="53"/>
      <c r="BR408" s="53"/>
      <c r="BS408" s="53"/>
      <c r="BU408" s="53"/>
      <c r="BV408" s="53"/>
      <c r="BW408" s="53"/>
      <c r="BX408" s="53"/>
      <c r="BY408" s="53"/>
      <c r="BZ408" s="53"/>
      <c r="CA408" s="53"/>
      <c r="CC408" s="53"/>
      <c r="CD408" s="53"/>
      <c r="CE408" s="53"/>
    </row>
    <row r="409" spans="10:83" x14ac:dyDescent="0.35">
      <c r="J409" s="2"/>
      <c r="K409" s="2"/>
      <c r="L409" s="2"/>
      <c r="M409" s="2"/>
      <c r="N409" s="2"/>
      <c r="BO409" s="53"/>
      <c r="BP409" s="53"/>
      <c r="BQ409" s="53"/>
      <c r="BR409" s="53"/>
      <c r="BS409" s="53"/>
      <c r="BU409" s="53"/>
      <c r="BV409" s="53"/>
      <c r="BW409" s="53"/>
      <c r="BX409" s="53"/>
      <c r="BY409" s="53"/>
      <c r="BZ409" s="53"/>
      <c r="CA409" s="53"/>
      <c r="CC409" s="53"/>
      <c r="CD409" s="53"/>
      <c r="CE409" s="53"/>
    </row>
    <row r="410" spans="10:83" x14ac:dyDescent="0.35">
      <c r="J410" s="2"/>
      <c r="K410" s="2"/>
      <c r="L410" s="2"/>
      <c r="M410" s="2"/>
      <c r="N410" s="2"/>
      <c r="BO410" s="53"/>
      <c r="BP410" s="53"/>
      <c r="BQ410" s="53"/>
      <c r="BR410" s="53"/>
      <c r="BS410" s="53"/>
      <c r="BU410" s="53"/>
      <c r="BV410" s="53"/>
      <c r="BW410" s="53"/>
      <c r="BX410" s="53"/>
      <c r="BY410" s="53"/>
      <c r="BZ410" s="53"/>
      <c r="CA410" s="53"/>
      <c r="CC410" s="53"/>
      <c r="CD410" s="53"/>
      <c r="CE410" s="53"/>
    </row>
    <row r="411" spans="10:83" x14ac:dyDescent="0.35">
      <c r="J411" s="2"/>
      <c r="K411" s="2"/>
      <c r="L411" s="2"/>
      <c r="M411" s="2"/>
      <c r="N411" s="2"/>
      <c r="BO411" s="53"/>
      <c r="BP411" s="53"/>
      <c r="BQ411" s="53"/>
      <c r="BR411" s="53"/>
      <c r="BS411" s="53"/>
      <c r="BU411" s="53"/>
      <c r="BV411" s="53"/>
      <c r="BW411" s="53"/>
      <c r="BX411" s="53"/>
      <c r="BY411" s="53"/>
      <c r="BZ411" s="53"/>
      <c r="CA411" s="53"/>
      <c r="CC411" s="53"/>
      <c r="CD411" s="53"/>
      <c r="CE411" s="53"/>
    </row>
    <row r="412" spans="10:83" x14ac:dyDescent="0.35">
      <c r="J412" s="2"/>
      <c r="K412" s="2"/>
      <c r="L412" s="2"/>
      <c r="M412" s="2"/>
      <c r="N412" s="2"/>
      <c r="BO412" s="53"/>
      <c r="BP412" s="53"/>
      <c r="BQ412" s="53"/>
      <c r="BR412" s="53"/>
      <c r="BS412" s="53"/>
      <c r="BU412" s="53"/>
      <c r="BV412" s="53"/>
      <c r="BW412" s="53"/>
      <c r="BX412" s="53"/>
      <c r="BY412" s="53"/>
      <c r="BZ412" s="53"/>
      <c r="CA412" s="53"/>
      <c r="CC412" s="53"/>
      <c r="CD412" s="53"/>
      <c r="CE412" s="53"/>
    </row>
    <row r="413" spans="10:83" x14ac:dyDescent="0.35">
      <c r="J413" s="2"/>
      <c r="K413" s="2"/>
      <c r="L413" s="2"/>
      <c r="M413" s="2"/>
      <c r="N413" s="2"/>
      <c r="BO413" s="53"/>
      <c r="BP413" s="53"/>
      <c r="BQ413" s="53"/>
      <c r="BR413" s="53"/>
      <c r="BS413" s="53"/>
      <c r="BU413" s="53"/>
      <c r="BV413" s="53"/>
      <c r="BW413" s="53"/>
      <c r="BX413" s="53"/>
      <c r="BY413" s="53"/>
      <c r="BZ413" s="53"/>
      <c r="CA413" s="53"/>
      <c r="CC413" s="53"/>
      <c r="CD413" s="53"/>
      <c r="CE413" s="53"/>
    </row>
    <row r="414" spans="10:83" x14ac:dyDescent="0.35">
      <c r="J414" s="2"/>
      <c r="K414" s="2"/>
      <c r="L414" s="2"/>
      <c r="M414" s="2"/>
      <c r="N414" s="2"/>
      <c r="BO414" s="53"/>
      <c r="BP414" s="53"/>
      <c r="BQ414" s="53"/>
      <c r="BR414" s="53"/>
      <c r="BS414" s="53"/>
      <c r="BU414" s="53"/>
      <c r="BV414" s="53"/>
      <c r="BW414" s="53"/>
      <c r="BX414" s="53"/>
      <c r="BY414" s="53"/>
      <c r="BZ414" s="53"/>
      <c r="CA414" s="53"/>
      <c r="CC414" s="53"/>
      <c r="CD414" s="53"/>
      <c r="CE414" s="53"/>
    </row>
    <row r="415" spans="10:83" x14ac:dyDescent="0.35">
      <c r="J415" s="2"/>
      <c r="K415" s="2"/>
      <c r="L415" s="2"/>
      <c r="M415" s="2"/>
      <c r="N415" s="2"/>
      <c r="BO415" s="53"/>
      <c r="BP415" s="53"/>
      <c r="BQ415" s="53"/>
      <c r="BR415" s="53"/>
      <c r="BS415" s="53"/>
      <c r="BU415" s="53"/>
      <c r="BV415" s="53"/>
      <c r="BW415" s="53"/>
      <c r="BX415" s="53"/>
      <c r="BY415" s="53"/>
      <c r="BZ415" s="53"/>
      <c r="CA415" s="53"/>
      <c r="CC415" s="53"/>
      <c r="CD415" s="53"/>
      <c r="CE415" s="53"/>
    </row>
    <row r="416" spans="10:83" x14ac:dyDescent="0.35">
      <c r="J416" s="2"/>
      <c r="K416" s="2"/>
      <c r="L416" s="2"/>
      <c r="M416" s="2"/>
      <c r="N416" s="2"/>
      <c r="BO416" s="53"/>
      <c r="BP416" s="53"/>
      <c r="BQ416" s="53"/>
      <c r="BR416" s="53"/>
      <c r="BS416" s="53"/>
      <c r="BU416" s="53"/>
      <c r="BV416" s="53"/>
      <c r="BW416" s="53"/>
      <c r="BX416" s="53"/>
      <c r="BY416" s="53"/>
      <c r="BZ416" s="53"/>
      <c r="CA416" s="53"/>
      <c r="CC416" s="53"/>
      <c r="CD416" s="53"/>
      <c r="CE416" s="53"/>
    </row>
    <row r="417" spans="10:83" x14ac:dyDescent="0.35">
      <c r="J417" s="2"/>
      <c r="K417" s="2"/>
      <c r="L417" s="2"/>
      <c r="M417" s="2"/>
      <c r="N417" s="2"/>
      <c r="BO417" s="53"/>
      <c r="BP417" s="53"/>
      <c r="BQ417" s="53"/>
      <c r="BR417" s="53"/>
      <c r="BS417" s="53"/>
      <c r="BU417" s="53"/>
      <c r="BV417" s="53"/>
      <c r="BW417" s="53"/>
      <c r="BX417" s="53"/>
      <c r="BY417" s="53"/>
      <c r="BZ417" s="53"/>
      <c r="CA417" s="53"/>
      <c r="CC417" s="53"/>
      <c r="CD417" s="53"/>
      <c r="CE417" s="53"/>
    </row>
    <row r="418" spans="10:83" x14ac:dyDescent="0.35">
      <c r="J418" s="2"/>
      <c r="K418" s="2"/>
      <c r="L418" s="2"/>
      <c r="M418" s="2"/>
      <c r="N418" s="2"/>
      <c r="BO418" s="53"/>
      <c r="BP418" s="53"/>
      <c r="BQ418" s="53"/>
      <c r="BR418" s="53"/>
      <c r="BS418" s="53"/>
      <c r="BU418" s="53"/>
      <c r="BV418" s="53"/>
      <c r="BW418" s="53"/>
      <c r="BX418" s="53"/>
      <c r="BY418" s="53"/>
      <c r="BZ418" s="53"/>
      <c r="CA418" s="53"/>
      <c r="CC418" s="53"/>
      <c r="CD418" s="53"/>
      <c r="CE418" s="53"/>
    </row>
    <row r="419" spans="10:83" x14ac:dyDescent="0.35">
      <c r="J419" s="2"/>
      <c r="K419" s="2"/>
      <c r="L419" s="2"/>
      <c r="M419" s="2"/>
      <c r="N419" s="2"/>
      <c r="BO419" s="53"/>
      <c r="BP419" s="53"/>
      <c r="BQ419" s="53"/>
      <c r="BR419" s="53"/>
      <c r="BS419" s="53"/>
      <c r="BU419" s="53"/>
      <c r="BV419" s="53"/>
      <c r="BW419" s="53"/>
      <c r="BX419" s="53"/>
      <c r="BY419" s="53"/>
      <c r="BZ419" s="53"/>
      <c r="CA419" s="53"/>
      <c r="CC419" s="53"/>
      <c r="CD419" s="53"/>
      <c r="CE419" s="53"/>
    </row>
    <row r="420" spans="10:83" x14ac:dyDescent="0.35">
      <c r="J420" s="2"/>
      <c r="K420" s="2"/>
      <c r="L420" s="2"/>
      <c r="M420" s="2"/>
      <c r="N420" s="2"/>
      <c r="BO420" s="53"/>
      <c r="BP420" s="53"/>
      <c r="BQ420" s="53"/>
      <c r="BR420" s="53"/>
      <c r="BS420" s="53"/>
      <c r="BU420" s="53"/>
      <c r="BV420" s="53"/>
      <c r="BW420" s="53"/>
      <c r="BX420" s="53"/>
      <c r="BY420" s="53"/>
      <c r="BZ420" s="53"/>
      <c r="CA420" s="53"/>
      <c r="CC420" s="53"/>
      <c r="CD420" s="53"/>
      <c r="CE420" s="53"/>
    </row>
    <row r="421" spans="10:83" x14ac:dyDescent="0.35">
      <c r="J421" s="2"/>
      <c r="K421" s="2"/>
      <c r="L421" s="2"/>
      <c r="M421" s="2"/>
      <c r="N421" s="2"/>
      <c r="BO421" s="53"/>
      <c r="BP421" s="53"/>
      <c r="BQ421" s="53"/>
      <c r="BR421" s="53"/>
      <c r="BS421" s="53"/>
      <c r="BU421" s="53"/>
      <c r="BV421" s="53"/>
      <c r="BW421" s="53"/>
      <c r="BX421" s="53"/>
      <c r="BY421" s="53"/>
      <c r="BZ421" s="53"/>
      <c r="CA421" s="53"/>
      <c r="CC421" s="53"/>
      <c r="CD421" s="53"/>
      <c r="CE421" s="53"/>
    </row>
    <row r="422" spans="10:83" x14ac:dyDescent="0.35">
      <c r="J422" s="2"/>
      <c r="K422" s="2"/>
      <c r="L422" s="2"/>
      <c r="M422" s="2"/>
      <c r="N422" s="2"/>
      <c r="BO422" s="53"/>
      <c r="BP422" s="53"/>
      <c r="BQ422" s="53"/>
      <c r="BR422" s="53"/>
      <c r="BS422" s="53"/>
      <c r="BU422" s="53"/>
      <c r="BV422" s="53"/>
      <c r="BW422" s="53"/>
      <c r="BX422" s="53"/>
      <c r="BY422" s="53"/>
      <c r="BZ422" s="53"/>
      <c r="CA422" s="53"/>
      <c r="CC422" s="53"/>
      <c r="CD422" s="53"/>
      <c r="CE422" s="53"/>
    </row>
    <row r="423" spans="10:83" x14ac:dyDescent="0.35">
      <c r="J423" s="2"/>
      <c r="K423" s="2"/>
      <c r="L423" s="2"/>
      <c r="M423" s="2"/>
      <c r="N423" s="2"/>
      <c r="BO423" s="53"/>
      <c r="BP423" s="53"/>
      <c r="BQ423" s="53"/>
      <c r="BR423" s="53"/>
      <c r="BS423" s="53"/>
      <c r="BU423" s="53"/>
      <c r="BV423" s="53"/>
      <c r="BW423" s="53"/>
      <c r="BX423" s="53"/>
      <c r="BY423" s="53"/>
      <c r="BZ423" s="53"/>
      <c r="CA423" s="53"/>
      <c r="CC423" s="53"/>
      <c r="CD423" s="53"/>
      <c r="CE423" s="53"/>
    </row>
    <row r="424" spans="10:83" x14ac:dyDescent="0.35">
      <c r="J424" s="2"/>
      <c r="K424" s="2"/>
      <c r="L424" s="2"/>
      <c r="M424" s="2"/>
      <c r="N424" s="2"/>
      <c r="BO424" s="53"/>
      <c r="BP424" s="53"/>
      <c r="BQ424" s="53"/>
      <c r="BR424" s="53"/>
      <c r="BS424" s="53"/>
      <c r="BU424" s="53"/>
      <c r="BV424" s="53"/>
      <c r="BW424" s="53"/>
      <c r="BX424" s="53"/>
      <c r="BY424" s="53"/>
      <c r="BZ424" s="53"/>
      <c r="CA424" s="53"/>
      <c r="CC424" s="53"/>
      <c r="CD424" s="53"/>
      <c r="CE424" s="53"/>
    </row>
    <row r="425" spans="10:83" x14ac:dyDescent="0.35">
      <c r="J425" s="2"/>
      <c r="K425" s="2"/>
      <c r="L425" s="2"/>
      <c r="M425" s="2"/>
      <c r="N425" s="2"/>
      <c r="BO425" s="53"/>
      <c r="BP425" s="53"/>
      <c r="BQ425" s="53"/>
      <c r="BR425" s="53"/>
      <c r="BS425" s="53"/>
      <c r="BU425" s="53"/>
      <c r="BV425" s="53"/>
      <c r="BW425" s="53"/>
      <c r="BX425" s="53"/>
      <c r="BY425" s="53"/>
      <c r="BZ425" s="53"/>
      <c r="CA425" s="53"/>
      <c r="CC425" s="53"/>
      <c r="CD425" s="53"/>
      <c r="CE425" s="53"/>
    </row>
    <row r="426" spans="10:83" x14ac:dyDescent="0.35">
      <c r="J426" s="2"/>
      <c r="K426" s="2"/>
      <c r="L426" s="2"/>
      <c r="M426" s="2"/>
      <c r="N426" s="2"/>
      <c r="BO426" s="53"/>
      <c r="BP426" s="53"/>
      <c r="BQ426" s="53"/>
      <c r="BR426" s="53"/>
      <c r="BS426" s="53"/>
      <c r="BU426" s="53"/>
      <c r="BV426" s="53"/>
      <c r="BW426" s="53"/>
      <c r="BX426" s="53"/>
      <c r="BY426" s="53"/>
      <c r="BZ426" s="53"/>
      <c r="CA426" s="53"/>
      <c r="CC426" s="53"/>
      <c r="CD426" s="53"/>
      <c r="CE426" s="53"/>
    </row>
    <row r="427" spans="10:83" x14ac:dyDescent="0.35">
      <c r="J427" s="2"/>
      <c r="K427" s="2"/>
      <c r="L427" s="2"/>
      <c r="M427" s="2"/>
      <c r="N427" s="2"/>
      <c r="BO427" s="53"/>
      <c r="BP427" s="53"/>
      <c r="BQ427" s="53"/>
      <c r="BR427" s="53"/>
      <c r="BS427" s="53"/>
      <c r="BU427" s="53"/>
      <c r="BV427" s="53"/>
      <c r="BW427" s="53"/>
      <c r="BX427" s="53"/>
      <c r="BY427" s="53"/>
      <c r="BZ427" s="53"/>
      <c r="CA427" s="53"/>
      <c r="CC427" s="53"/>
      <c r="CD427" s="53"/>
      <c r="CE427" s="53"/>
    </row>
    <row r="428" spans="10:83" x14ac:dyDescent="0.35">
      <c r="J428" s="2"/>
      <c r="K428" s="2"/>
      <c r="L428" s="2"/>
      <c r="M428" s="2"/>
      <c r="N428" s="2"/>
      <c r="BO428" s="53"/>
      <c r="BP428" s="53"/>
      <c r="BQ428" s="53"/>
      <c r="BR428" s="53"/>
      <c r="BS428" s="53"/>
      <c r="BU428" s="53"/>
      <c r="BV428" s="53"/>
      <c r="BW428" s="53"/>
      <c r="BX428" s="53"/>
      <c r="BY428" s="53"/>
      <c r="BZ428" s="53"/>
      <c r="CA428" s="53"/>
      <c r="CC428" s="53"/>
      <c r="CD428" s="53"/>
      <c r="CE428" s="53"/>
    </row>
    <row r="429" spans="10:83" x14ac:dyDescent="0.35">
      <c r="J429" s="2"/>
      <c r="K429" s="2"/>
      <c r="L429" s="2"/>
      <c r="M429" s="2"/>
      <c r="N429" s="2"/>
      <c r="BO429" s="53"/>
      <c r="BP429" s="53"/>
      <c r="BQ429" s="53"/>
      <c r="BR429" s="53"/>
      <c r="BS429" s="53"/>
      <c r="BU429" s="53"/>
      <c r="BV429" s="53"/>
      <c r="BW429" s="53"/>
      <c r="BX429" s="53"/>
      <c r="BY429" s="53"/>
      <c r="BZ429" s="53"/>
      <c r="CA429" s="53"/>
      <c r="CC429" s="53"/>
      <c r="CD429" s="53"/>
      <c r="CE429" s="53"/>
    </row>
    <row r="430" spans="10:83" x14ac:dyDescent="0.35">
      <c r="J430" s="2"/>
      <c r="K430" s="2"/>
      <c r="L430" s="2"/>
      <c r="M430" s="2"/>
      <c r="N430" s="2"/>
      <c r="BO430" s="53"/>
      <c r="BP430" s="53"/>
      <c r="BQ430" s="53"/>
      <c r="BR430" s="53"/>
      <c r="BS430" s="53"/>
      <c r="BU430" s="53"/>
      <c r="BV430" s="53"/>
      <c r="BW430" s="53"/>
      <c r="BX430" s="53"/>
      <c r="BY430" s="53"/>
      <c r="BZ430" s="53"/>
      <c r="CA430" s="53"/>
      <c r="CC430" s="53"/>
      <c r="CD430" s="53"/>
      <c r="CE430" s="53"/>
    </row>
    <row r="431" spans="10:83" x14ac:dyDescent="0.35">
      <c r="J431" s="2"/>
      <c r="K431" s="2"/>
      <c r="L431" s="2"/>
      <c r="M431" s="2"/>
      <c r="N431" s="2"/>
      <c r="BO431" s="53"/>
      <c r="BP431" s="53"/>
      <c r="BQ431" s="53"/>
      <c r="BR431" s="53"/>
      <c r="BS431" s="53"/>
      <c r="BU431" s="53"/>
      <c r="BV431" s="53"/>
      <c r="BW431" s="53"/>
      <c r="BX431" s="53"/>
      <c r="BY431" s="53"/>
      <c r="BZ431" s="53"/>
      <c r="CA431" s="53"/>
      <c r="CC431" s="53"/>
      <c r="CD431" s="53"/>
      <c r="CE431" s="53"/>
    </row>
    <row r="432" spans="10:83" x14ac:dyDescent="0.35">
      <c r="J432" s="2"/>
      <c r="K432" s="2"/>
      <c r="L432" s="2"/>
      <c r="M432" s="2"/>
      <c r="N432" s="2"/>
      <c r="BO432" s="53"/>
      <c r="BP432" s="53"/>
      <c r="BQ432" s="53"/>
      <c r="BR432" s="53"/>
      <c r="BS432" s="53"/>
      <c r="BU432" s="53"/>
      <c r="BV432" s="53"/>
      <c r="BW432" s="53"/>
      <c r="BX432" s="53"/>
      <c r="BY432" s="53"/>
      <c r="BZ432" s="53"/>
      <c r="CA432" s="53"/>
      <c r="CC432" s="53"/>
      <c r="CD432" s="53"/>
      <c r="CE432" s="53"/>
    </row>
    <row r="433" spans="10:83" x14ac:dyDescent="0.35">
      <c r="J433" s="2"/>
      <c r="K433" s="2"/>
      <c r="L433" s="2"/>
      <c r="M433" s="2"/>
      <c r="N433" s="2"/>
      <c r="BO433" s="53"/>
      <c r="BP433" s="53"/>
      <c r="BQ433" s="53"/>
      <c r="BR433" s="53"/>
      <c r="BS433" s="53"/>
      <c r="BU433" s="53"/>
      <c r="BV433" s="53"/>
      <c r="BW433" s="53"/>
      <c r="BX433" s="53"/>
      <c r="BY433" s="53"/>
      <c r="BZ433" s="53"/>
      <c r="CA433" s="53"/>
      <c r="CC433" s="53"/>
      <c r="CD433" s="53"/>
      <c r="CE433" s="53"/>
    </row>
    <row r="434" spans="10:83" x14ac:dyDescent="0.35">
      <c r="J434" s="2"/>
      <c r="K434" s="2"/>
      <c r="L434" s="2"/>
      <c r="M434" s="2"/>
      <c r="N434" s="2"/>
      <c r="BO434" s="53"/>
      <c r="BP434" s="53"/>
      <c r="BQ434" s="53"/>
      <c r="BR434" s="53"/>
      <c r="BS434" s="53"/>
      <c r="BU434" s="53"/>
      <c r="BV434" s="53"/>
      <c r="BW434" s="53"/>
      <c r="BX434" s="53"/>
      <c r="BY434" s="53"/>
      <c r="BZ434" s="53"/>
      <c r="CA434" s="53"/>
      <c r="CC434" s="53"/>
      <c r="CD434" s="53"/>
      <c r="CE434" s="53"/>
    </row>
    <row r="435" spans="10:83" x14ac:dyDescent="0.35">
      <c r="J435" s="2"/>
      <c r="K435" s="2"/>
      <c r="L435" s="2"/>
      <c r="M435" s="2"/>
      <c r="N435" s="2"/>
      <c r="BO435" s="53"/>
      <c r="BP435" s="53"/>
      <c r="BQ435" s="53"/>
      <c r="BR435" s="53"/>
      <c r="BS435" s="53"/>
      <c r="BU435" s="53"/>
      <c r="BV435" s="53"/>
      <c r="BW435" s="53"/>
      <c r="BX435" s="53"/>
      <c r="BY435" s="53"/>
      <c r="BZ435" s="53"/>
      <c r="CA435" s="53"/>
      <c r="CC435" s="53"/>
      <c r="CD435" s="53"/>
      <c r="CE435" s="53"/>
    </row>
    <row r="436" spans="10:83" x14ac:dyDescent="0.35">
      <c r="J436" s="2"/>
      <c r="K436" s="2"/>
      <c r="L436" s="2"/>
      <c r="M436" s="2"/>
      <c r="N436" s="2"/>
      <c r="BO436" s="53"/>
      <c r="BP436" s="53"/>
      <c r="BQ436" s="53"/>
      <c r="BR436" s="53"/>
      <c r="BS436" s="53"/>
      <c r="BU436" s="53"/>
      <c r="BV436" s="53"/>
      <c r="BW436" s="53"/>
      <c r="BX436" s="53"/>
      <c r="BY436" s="53"/>
      <c r="BZ436" s="53"/>
      <c r="CA436" s="53"/>
      <c r="CC436" s="53"/>
      <c r="CD436" s="53"/>
      <c r="CE436" s="53"/>
    </row>
    <row r="437" spans="10:83" x14ac:dyDescent="0.35">
      <c r="J437" s="2"/>
      <c r="K437" s="2"/>
      <c r="L437" s="2"/>
      <c r="M437" s="2"/>
      <c r="N437" s="2"/>
      <c r="BO437" s="53"/>
      <c r="BP437" s="53"/>
      <c r="BQ437" s="53"/>
      <c r="BR437" s="53"/>
      <c r="BS437" s="53"/>
      <c r="BU437" s="53"/>
      <c r="BV437" s="53"/>
      <c r="BW437" s="53"/>
      <c r="BX437" s="53"/>
      <c r="BY437" s="53"/>
      <c r="BZ437" s="53"/>
      <c r="CA437" s="53"/>
      <c r="CC437" s="53"/>
      <c r="CD437" s="53"/>
      <c r="CE437" s="53"/>
    </row>
    <row r="438" spans="10:83" x14ac:dyDescent="0.35">
      <c r="J438" s="2"/>
      <c r="K438" s="2"/>
      <c r="L438" s="2"/>
      <c r="M438" s="2"/>
      <c r="N438" s="2"/>
      <c r="BO438" s="53"/>
      <c r="BP438" s="53"/>
      <c r="BQ438" s="53"/>
      <c r="BR438" s="53"/>
      <c r="BS438" s="53"/>
      <c r="BU438" s="53"/>
      <c r="BV438" s="53"/>
      <c r="BW438" s="53"/>
      <c r="BX438" s="53"/>
      <c r="BY438" s="53"/>
      <c r="BZ438" s="53"/>
      <c r="CA438" s="53"/>
      <c r="CC438" s="53"/>
      <c r="CD438" s="53"/>
      <c r="CE438" s="53"/>
    </row>
    <row r="439" spans="10:83" x14ac:dyDescent="0.35">
      <c r="J439" s="2"/>
      <c r="K439" s="2"/>
      <c r="L439" s="2"/>
      <c r="M439" s="2"/>
      <c r="N439" s="2"/>
    </row>
    <row r="440" spans="10:83" x14ac:dyDescent="0.35">
      <c r="J440" s="2"/>
      <c r="K440" s="2"/>
      <c r="L440" s="2"/>
      <c r="M440" s="2"/>
      <c r="N440" s="2"/>
    </row>
    <row r="441" spans="10:83" x14ac:dyDescent="0.35">
      <c r="J441" s="2"/>
      <c r="K441" s="2"/>
      <c r="L441" s="2"/>
      <c r="M441" s="2"/>
      <c r="N441" s="2"/>
    </row>
    <row r="442" spans="10:83" x14ac:dyDescent="0.35">
      <c r="J442" s="2"/>
      <c r="K442" s="2"/>
      <c r="L442" s="2"/>
      <c r="M442" s="2"/>
      <c r="N442" s="2"/>
    </row>
    <row r="443" spans="10:83" x14ac:dyDescent="0.35">
      <c r="J443" s="2"/>
      <c r="K443" s="2"/>
      <c r="L443" s="2"/>
      <c r="M443" s="2"/>
      <c r="N443" s="2"/>
    </row>
    <row r="444" spans="10:83" x14ac:dyDescent="0.35">
      <c r="J444" s="2"/>
      <c r="K444" s="2"/>
      <c r="L444" s="2"/>
      <c r="M444" s="2"/>
      <c r="N444" s="2"/>
    </row>
    <row r="445" spans="10:83" x14ac:dyDescent="0.35">
      <c r="J445" s="2"/>
      <c r="K445" s="2"/>
      <c r="L445" s="2"/>
      <c r="M445" s="2"/>
      <c r="N445" s="2"/>
    </row>
    <row r="446" spans="10:83" x14ac:dyDescent="0.35">
      <c r="J446" s="2"/>
      <c r="K446" s="2"/>
      <c r="L446" s="2"/>
      <c r="M446" s="2"/>
      <c r="N446" s="2"/>
    </row>
    <row r="447" spans="10:83" x14ac:dyDescent="0.35">
      <c r="J447" s="2"/>
      <c r="K447" s="2"/>
      <c r="L447" s="2"/>
      <c r="M447" s="2"/>
      <c r="N447" s="2"/>
    </row>
    <row r="448" spans="10:83" x14ac:dyDescent="0.35">
      <c r="J448" s="2"/>
      <c r="K448" s="2"/>
      <c r="L448" s="2"/>
      <c r="M448" s="2"/>
      <c r="N448" s="2"/>
    </row>
    <row r="449" spans="10:14" x14ac:dyDescent="0.35">
      <c r="J449" s="2"/>
      <c r="K449" s="2"/>
      <c r="L449" s="2"/>
      <c r="M449" s="2"/>
      <c r="N449" s="2"/>
    </row>
    <row r="450" spans="10:14" x14ac:dyDescent="0.35">
      <c r="J450" s="2"/>
      <c r="K450" s="2"/>
      <c r="L450" s="2"/>
      <c r="M450" s="2"/>
      <c r="N450" s="2"/>
    </row>
    <row r="451" spans="10:14" x14ac:dyDescent="0.35">
      <c r="J451" s="2"/>
      <c r="K451" s="2"/>
      <c r="L451" s="2"/>
      <c r="M451" s="2"/>
      <c r="N451" s="2"/>
    </row>
    <row r="452" spans="10:14" x14ac:dyDescent="0.35">
      <c r="J452" s="2"/>
      <c r="K452" s="2"/>
      <c r="L452" s="2"/>
      <c r="M452" s="2"/>
      <c r="N452" s="2"/>
    </row>
    <row r="453" spans="10:14" x14ac:dyDescent="0.35">
      <c r="J453" s="2"/>
      <c r="K453" s="2"/>
      <c r="L453" s="2"/>
      <c r="M453" s="2"/>
      <c r="N453" s="2"/>
    </row>
    <row r="454" spans="10:14" x14ac:dyDescent="0.35">
      <c r="J454" s="2"/>
      <c r="K454" s="2"/>
      <c r="L454" s="2"/>
      <c r="M454" s="2"/>
      <c r="N454" s="2"/>
    </row>
    <row r="455" spans="10:14" x14ac:dyDescent="0.35">
      <c r="J455" s="2"/>
      <c r="K455" s="2"/>
      <c r="L455" s="2"/>
      <c r="M455" s="2"/>
      <c r="N455" s="2"/>
    </row>
    <row r="456" spans="10:14" x14ac:dyDescent="0.35">
      <c r="J456" s="2"/>
      <c r="K456" s="2"/>
      <c r="L456" s="2"/>
      <c r="M456" s="2"/>
      <c r="N456" s="2"/>
    </row>
    <row r="457" spans="10:14" x14ac:dyDescent="0.35">
      <c r="J457" s="2"/>
      <c r="K457" s="2"/>
      <c r="L457" s="2"/>
      <c r="M457" s="2"/>
      <c r="N457" s="2"/>
    </row>
    <row r="458" spans="10:14" x14ac:dyDescent="0.35">
      <c r="J458" s="2"/>
      <c r="K458" s="2"/>
      <c r="L458" s="2"/>
      <c r="M458" s="2"/>
      <c r="N458" s="2"/>
    </row>
    <row r="459" spans="10:14" x14ac:dyDescent="0.35">
      <c r="J459" s="2"/>
      <c r="K459" s="2"/>
      <c r="L459" s="2"/>
      <c r="M459" s="2"/>
      <c r="N459" s="2"/>
    </row>
    <row r="460" spans="10:14" x14ac:dyDescent="0.35">
      <c r="J460" s="2"/>
      <c r="K460" s="2"/>
      <c r="L460" s="2"/>
      <c r="M460" s="2"/>
      <c r="N460" s="2"/>
    </row>
    <row r="461" spans="10:14" x14ac:dyDescent="0.35">
      <c r="J461" s="2"/>
      <c r="K461" s="2"/>
      <c r="L461" s="2"/>
      <c r="M461" s="2"/>
      <c r="N461" s="2"/>
    </row>
    <row r="462" spans="10:14" x14ac:dyDescent="0.35">
      <c r="J462" s="2"/>
      <c r="K462" s="2"/>
      <c r="L462" s="2"/>
      <c r="M462" s="2"/>
      <c r="N462" s="2"/>
    </row>
    <row r="463" spans="10:14" x14ac:dyDescent="0.35">
      <c r="J463" s="2"/>
      <c r="K463" s="2"/>
      <c r="L463" s="2"/>
      <c r="M463" s="2"/>
      <c r="N463" s="2"/>
    </row>
    <row r="464" spans="10:14" x14ac:dyDescent="0.35">
      <c r="J464" s="2"/>
      <c r="K464" s="2"/>
      <c r="L464" s="2"/>
      <c r="M464" s="2"/>
      <c r="N464" s="2"/>
    </row>
    <row r="465" spans="10:14" x14ac:dyDescent="0.35">
      <c r="J465" s="2"/>
      <c r="K465" s="2"/>
      <c r="L465" s="2"/>
      <c r="M465" s="2"/>
      <c r="N465" s="2"/>
    </row>
    <row r="466" spans="10:14" x14ac:dyDescent="0.35">
      <c r="J466" s="2"/>
      <c r="K466" s="2"/>
      <c r="L466" s="2"/>
      <c r="M466" s="2"/>
      <c r="N466" s="2"/>
    </row>
    <row r="467" spans="10:14" x14ac:dyDescent="0.35">
      <c r="J467" s="2"/>
      <c r="K467" s="2"/>
      <c r="L467" s="2"/>
      <c r="M467" s="2"/>
      <c r="N467" s="2"/>
    </row>
    <row r="468" spans="10:14" x14ac:dyDescent="0.35">
      <c r="J468" s="2"/>
      <c r="K468" s="2"/>
      <c r="L468" s="2"/>
      <c r="M468" s="2"/>
      <c r="N468" s="2"/>
    </row>
    <row r="469" spans="10:14" x14ac:dyDescent="0.35">
      <c r="J469" s="2"/>
      <c r="K469" s="2"/>
      <c r="L469" s="2"/>
      <c r="M469" s="2"/>
      <c r="N469" s="2"/>
    </row>
    <row r="470" spans="10:14" x14ac:dyDescent="0.35">
      <c r="J470" s="2"/>
      <c r="K470" s="2"/>
      <c r="L470" s="2"/>
      <c r="M470" s="2"/>
      <c r="N470" s="2"/>
    </row>
    <row r="471" spans="10:14" x14ac:dyDescent="0.35">
      <c r="J471" s="2"/>
      <c r="K471" s="2"/>
      <c r="L471" s="2"/>
      <c r="M471" s="2"/>
      <c r="N471" s="2"/>
    </row>
    <row r="472" spans="10:14" x14ac:dyDescent="0.35">
      <c r="J472" s="2"/>
      <c r="K472" s="2"/>
      <c r="L472" s="2"/>
      <c r="M472" s="2"/>
      <c r="N472" s="2"/>
    </row>
    <row r="473" spans="10:14" x14ac:dyDescent="0.35">
      <c r="J473" s="2"/>
      <c r="K473" s="2"/>
      <c r="L473" s="2"/>
      <c r="M473" s="2"/>
      <c r="N473" s="2"/>
    </row>
    <row r="474" spans="10:14" x14ac:dyDescent="0.35">
      <c r="J474" s="2"/>
      <c r="K474" s="2"/>
      <c r="L474" s="2"/>
      <c r="M474" s="2"/>
      <c r="N474" s="2"/>
    </row>
    <row r="475" spans="10:14" x14ac:dyDescent="0.35">
      <c r="J475" s="2"/>
      <c r="K475" s="2"/>
      <c r="L475" s="2"/>
      <c r="M475" s="2"/>
      <c r="N475" s="2"/>
    </row>
    <row r="476" spans="10:14" x14ac:dyDescent="0.35">
      <c r="J476" s="2"/>
      <c r="K476" s="2"/>
      <c r="L476" s="2"/>
      <c r="M476" s="2"/>
      <c r="N476" s="2"/>
    </row>
    <row r="477" spans="10:14" x14ac:dyDescent="0.35">
      <c r="J477" s="2"/>
      <c r="K477" s="2"/>
      <c r="L477" s="2"/>
      <c r="M477" s="2"/>
      <c r="N477" s="2"/>
    </row>
    <row r="478" spans="10:14" x14ac:dyDescent="0.35">
      <c r="J478" s="2"/>
      <c r="K478" s="2"/>
      <c r="L478" s="2"/>
      <c r="M478" s="2"/>
      <c r="N478" s="2"/>
    </row>
    <row r="479" spans="10:14" x14ac:dyDescent="0.35">
      <c r="J479" s="2"/>
      <c r="K479" s="2"/>
      <c r="L479" s="2"/>
      <c r="M479" s="2"/>
      <c r="N479" s="2"/>
    </row>
    <row r="480" spans="10:14" x14ac:dyDescent="0.35">
      <c r="J480" s="2"/>
      <c r="K480" s="2"/>
      <c r="L480" s="2"/>
      <c r="M480" s="2"/>
      <c r="N480" s="2"/>
    </row>
    <row r="481" spans="10:14" x14ac:dyDescent="0.35">
      <c r="J481" s="2"/>
      <c r="K481" s="2"/>
      <c r="L481" s="2"/>
      <c r="M481" s="2"/>
      <c r="N481" s="2"/>
    </row>
    <row r="482" spans="10:14" x14ac:dyDescent="0.35">
      <c r="J482" s="2"/>
      <c r="K482" s="2"/>
      <c r="L482" s="2"/>
      <c r="M482" s="2"/>
      <c r="N482" s="2"/>
    </row>
    <row r="483" spans="10:14" x14ac:dyDescent="0.35">
      <c r="J483" s="2"/>
      <c r="K483" s="2"/>
      <c r="L483" s="2"/>
      <c r="M483" s="2"/>
      <c r="N483" s="2"/>
    </row>
    <row r="484" spans="10:14" x14ac:dyDescent="0.35">
      <c r="J484" s="2"/>
      <c r="K484" s="2"/>
      <c r="L484" s="2"/>
      <c r="M484" s="2"/>
      <c r="N484" s="2"/>
    </row>
    <row r="485" spans="10:14" x14ac:dyDescent="0.35">
      <c r="J485" s="2"/>
      <c r="K485" s="2"/>
      <c r="L485" s="2"/>
      <c r="M485" s="2"/>
      <c r="N485" s="2"/>
    </row>
    <row r="486" spans="10:14" x14ac:dyDescent="0.35">
      <c r="J486" s="2"/>
      <c r="K486" s="2"/>
      <c r="L486" s="2"/>
      <c r="M486" s="2"/>
      <c r="N486" s="2"/>
    </row>
    <row r="487" spans="10:14" x14ac:dyDescent="0.35">
      <c r="J487" s="2"/>
      <c r="K487" s="2"/>
      <c r="L487" s="2"/>
      <c r="M487" s="2"/>
      <c r="N487" s="2"/>
    </row>
    <row r="488" spans="10:14" x14ac:dyDescent="0.35">
      <c r="J488" s="2"/>
      <c r="K488" s="2"/>
      <c r="L488" s="2"/>
      <c r="M488" s="2"/>
      <c r="N488" s="2"/>
    </row>
    <row r="489" spans="10:14" x14ac:dyDescent="0.35">
      <c r="J489" s="2"/>
      <c r="K489" s="2"/>
      <c r="L489" s="2"/>
      <c r="M489" s="2"/>
      <c r="N489" s="2"/>
    </row>
    <row r="490" spans="10:14" x14ac:dyDescent="0.35">
      <c r="J490" s="2"/>
      <c r="K490" s="2"/>
      <c r="L490" s="2"/>
      <c r="M490" s="2"/>
      <c r="N490" s="2"/>
    </row>
    <row r="491" spans="10:14" x14ac:dyDescent="0.35">
      <c r="J491" s="2"/>
      <c r="K491" s="2"/>
      <c r="L491" s="2"/>
      <c r="M491" s="2"/>
      <c r="N491" s="2"/>
    </row>
    <row r="492" spans="10:14" x14ac:dyDescent="0.35">
      <c r="J492" s="2"/>
      <c r="K492" s="2"/>
      <c r="L492" s="2"/>
      <c r="M492" s="2"/>
      <c r="N492" s="2"/>
    </row>
    <row r="493" spans="10:14" x14ac:dyDescent="0.35">
      <c r="J493" s="2"/>
      <c r="K493" s="2"/>
      <c r="L493" s="2"/>
      <c r="M493" s="2"/>
      <c r="N493" s="2"/>
    </row>
    <row r="494" spans="10:14" x14ac:dyDescent="0.35">
      <c r="J494" s="2"/>
      <c r="K494" s="2"/>
      <c r="L494" s="2"/>
      <c r="M494" s="2"/>
      <c r="N494" s="2"/>
    </row>
    <row r="495" spans="10:14" x14ac:dyDescent="0.35">
      <c r="J495" s="2"/>
      <c r="K495" s="2"/>
      <c r="L495" s="2"/>
      <c r="M495" s="2"/>
      <c r="N495" s="2"/>
    </row>
    <row r="496" spans="10:14" x14ac:dyDescent="0.35">
      <c r="J496" s="2"/>
      <c r="K496" s="2"/>
      <c r="L496" s="2"/>
      <c r="M496" s="2"/>
      <c r="N496" s="2"/>
    </row>
    <row r="497" spans="10:14" x14ac:dyDescent="0.35">
      <c r="J497" s="2"/>
      <c r="K497" s="2"/>
      <c r="L497" s="2"/>
      <c r="M497" s="2"/>
      <c r="N497" s="2"/>
    </row>
    <row r="498" spans="10:14" x14ac:dyDescent="0.35">
      <c r="J498" s="2"/>
      <c r="K498" s="2"/>
      <c r="L498" s="2"/>
      <c r="M498" s="2"/>
      <c r="N498" s="2"/>
    </row>
    <row r="499" spans="10:14" x14ac:dyDescent="0.35">
      <c r="J499" s="2"/>
      <c r="K499" s="2"/>
      <c r="L499" s="2"/>
      <c r="M499" s="2"/>
      <c r="N499" s="2"/>
    </row>
    <row r="500" spans="10:14" x14ac:dyDescent="0.35">
      <c r="J500" s="2"/>
      <c r="K500" s="2"/>
      <c r="L500" s="2"/>
      <c r="M500" s="2"/>
      <c r="N500" s="2"/>
    </row>
    <row r="501" spans="10:14" x14ac:dyDescent="0.35">
      <c r="J501" s="2"/>
      <c r="K501" s="2"/>
      <c r="L501" s="2"/>
      <c r="M501" s="2"/>
      <c r="N501" s="2"/>
    </row>
    <row r="502" spans="10:14" x14ac:dyDescent="0.35">
      <c r="J502" s="2"/>
      <c r="K502" s="2"/>
      <c r="L502" s="2"/>
      <c r="M502" s="2"/>
      <c r="N502" s="2"/>
    </row>
    <row r="503" spans="10:14" x14ac:dyDescent="0.35">
      <c r="J503" s="2"/>
      <c r="K503" s="2"/>
      <c r="L503" s="2"/>
      <c r="M503" s="2"/>
      <c r="N503" s="2"/>
    </row>
    <row r="504" spans="10:14" x14ac:dyDescent="0.35">
      <c r="J504" s="2"/>
      <c r="K504" s="2"/>
      <c r="L504" s="2"/>
      <c r="M504" s="2"/>
      <c r="N504" s="2"/>
    </row>
    <row r="505" spans="10:14" x14ac:dyDescent="0.35">
      <c r="J505" s="2"/>
      <c r="K505" s="2"/>
      <c r="L505" s="2"/>
      <c r="M505" s="2"/>
      <c r="N505" s="2"/>
    </row>
    <row r="506" spans="10:14" x14ac:dyDescent="0.35">
      <c r="J506" s="2"/>
      <c r="K506" s="2"/>
      <c r="L506" s="2"/>
      <c r="M506" s="2"/>
      <c r="N506" s="2"/>
    </row>
    <row r="507" spans="10:14" x14ac:dyDescent="0.35">
      <c r="J507" s="2"/>
      <c r="K507" s="2"/>
      <c r="L507" s="2"/>
      <c r="M507" s="2"/>
      <c r="N507" s="2"/>
    </row>
    <row r="508" spans="10:14" x14ac:dyDescent="0.35">
      <c r="J508" s="2"/>
      <c r="K508" s="2"/>
      <c r="L508" s="2"/>
      <c r="M508" s="2"/>
      <c r="N508" s="2"/>
    </row>
    <row r="509" spans="10:14" x14ac:dyDescent="0.35">
      <c r="J509" s="2"/>
      <c r="K509" s="2"/>
      <c r="L509" s="2"/>
      <c r="M509" s="2"/>
      <c r="N509" s="2"/>
    </row>
    <row r="510" spans="10:14" x14ac:dyDescent="0.35">
      <c r="J510" s="2"/>
      <c r="K510" s="2"/>
      <c r="L510" s="2"/>
      <c r="M510" s="2"/>
      <c r="N510" s="2"/>
    </row>
    <row r="511" spans="10:14" x14ac:dyDescent="0.35">
      <c r="J511" s="2"/>
      <c r="K511" s="2"/>
      <c r="L511" s="2"/>
      <c r="M511" s="2"/>
      <c r="N511" s="2"/>
    </row>
    <row r="512" spans="10:14" x14ac:dyDescent="0.35">
      <c r="J512" s="2"/>
      <c r="K512" s="2"/>
      <c r="L512" s="2"/>
      <c r="M512" s="2"/>
      <c r="N512" s="2"/>
    </row>
    <row r="513" spans="10:14" x14ac:dyDescent="0.35">
      <c r="J513" s="2"/>
      <c r="K513" s="2"/>
      <c r="L513" s="2"/>
      <c r="M513" s="2"/>
      <c r="N513" s="2"/>
    </row>
    <row r="514" spans="10:14" x14ac:dyDescent="0.35">
      <c r="J514" s="2"/>
      <c r="K514" s="2"/>
      <c r="L514" s="2"/>
      <c r="M514" s="2"/>
      <c r="N514" s="2"/>
    </row>
    <row r="515" spans="10:14" x14ac:dyDescent="0.35">
      <c r="J515" s="2"/>
      <c r="K515" s="2"/>
      <c r="L515" s="2"/>
      <c r="M515" s="2"/>
      <c r="N515" s="2"/>
    </row>
    <row r="516" spans="10:14" x14ac:dyDescent="0.35">
      <c r="J516" s="2"/>
      <c r="K516" s="2"/>
      <c r="L516" s="2"/>
      <c r="M516" s="2"/>
      <c r="N516" s="2"/>
    </row>
    <row r="517" spans="10:14" x14ac:dyDescent="0.35">
      <c r="J517" s="2"/>
      <c r="K517" s="2"/>
      <c r="L517" s="2"/>
      <c r="M517" s="2"/>
      <c r="N517" s="2"/>
    </row>
    <row r="518" spans="10:14" x14ac:dyDescent="0.35">
      <c r="J518" s="2"/>
      <c r="K518" s="2"/>
      <c r="L518" s="2"/>
      <c r="M518" s="2"/>
      <c r="N518" s="2"/>
    </row>
    <row r="519" spans="10:14" x14ac:dyDescent="0.35">
      <c r="J519" s="2"/>
      <c r="K519" s="2"/>
      <c r="L519" s="2"/>
      <c r="M519" s="2"/>
      <c r="N519" s="2"/>
    </row>
    <row r="520" spans="10:14" x14ac:dyDescent="0.35">
      <c r="J520" s="2"/>
      <c r="K520" s="2"/>
      <c r="L520" s="2"/>
      <c r="M520" s="2"/>
      <c r="N520" s="2"/>
    </row>
    <row r="521" spans="10:14" x14ac:dyDescent="0.35">
      <c r="J521" s="2"/>
      <c r="K521" s="2"/>
      <c r="L521" s="2"/>
      <c r="M521" s="2"/>
      <c r="N521" s="2"/>
    </row>
    <row r="522" spans="10:14" x14ac:dyDescent="0.35">
      <c r="J522" s="2"/>
      <c r="K522" s="2"/>
      <c r="L522" s="2"/>
      <c r="M522" s="2"/>
      <c r="N522" s="2"/>
    </row>
    <row r="523" spans="10:14" x14ac:dyDescent="0.35">
      <c r="J523" s="2"/>
      <c r="K523" s="2"/>
      <c r="L523" s="2"/>
      <c r="M523" s="2"/>
      <c r="N523" s="2"/>
    </row>
    <row r="524" spans="10:14" x14ac:dyDescent="0.35">
      <c r="J524" s="2"/>
      <c r="K524" s="2"/>
      <c r="L524" s="2"/>
      <c r="M524" s="2"/>
      <c r="N524" s="2"/>
    </row>
    <row r="525" spans="10:14" x14ac:dyDescent="0.35">
      <c r="J525" s="2"/>
      <c r="K525" s="2"/>
      <c r="L525" s="2"/>
      <c r="M525" s="2"/>
      <c r="N525" s="2"/>
    </row>
    <row r="526" spans="10:14" x14ac:dyDescent="0.35">
      <c r="J526" s="2"/>
      <c r="K526" s="2"/>
      <c r="L526" s="2"/>
      <c r="M526" s="2"/>
      <c r="N526" s="2"/>
    </row>
    <row r="527" spans="10:14" x14ac:dyDescent="0.35">
      <c r="J527" s="2"/>
      <c r="K527" s="2"/>
      <c r="L527" s="2"/>
      <c r="M527" s="2"/>
      <c r="N527" s="2"/>
    </row>
    <row r="528" spans="10:14" x14ac:dyDescent="0.35">
      <c r="J528" s="2"/>
      <c r="K528" s="2"/>
      <c r="L528" s="2"/>
      <c r="M528" s="2"/>
      <c r="N528" s="2"/>
    </row>
    <row r="529" spans="10:14" x14ac:dyDescent="0.35">
      <c r="J529" s="2"/>
      <c r="K529" s="2"/>
      <c r="L529" s="2"/>
      <c r="M529" s="2"/>
      <c r="N529" s="2"/>
    </row>
    <row r="530" spans="10:14" x14ac:dyDescent="0.35">
      <c r="J530" s="2"/>
      <c r="K530" s="2"/>
      <c r="L530" s="2"/>
      <c r="M530" s="2"/>
      <c r="N530" s="2"/>
    </row>
    <row r="531" spans="10:14" x14ac:dyDescent="0.35">
      <c r="J531" s="2"/>
      <c r="K531" s="2"/>
      <c r="L531" s="2"/>
      <c r="M531" s="2"/>
      <c r="N531" s="2"/>
    </row>
    <row r="532" spans="10:14" x14ac:dyDescent="0.35">
      <c r="J532" s="2"/>
      <c r="K532" s="2"/>
      <c r="L532" s="2"/>
      <c r="M532" s="2"/>
      <c r="N532" s="2"/>
    </row>
    <row r="533" spans="10:14" x14ac:dyDescent="0.35">
      <c r="J533" s="2"/>
      <c r="K533" s="2"/>
      <c r="L533" s="2"/>
      <c r="M533" s="2"/>
      <c r="N533" s="2"/>
    </row>
    <row r="534" spans="10:14" x14ac:dyDescent="0.35">
      <c r="J534" s="2"/>
      <c r="K534" s="2"/>
      <c r="L534" s="2"/>
      <c r="M534" s="2"/>
      <c r="N534" s="2"/>
    </row>
    <row r="535" spans="10:14" x14ac:dyDescent="0.35">
      <c r="J535" s="2"/>
      <c r="K535" s="2"/>
      <c r="L535" s="2"/>
      <c r="M535" s="2"/>
      <c r="N535" s="2"/>
    </row>
    <row r="536" spans="10:14" x14ac:dyDescent="0.35">
      <c r="J536" s="2"/>
      <c r="K536" s="2"/>
      <c r="L536" s="2"/>
      <c r="M536" s="2"/>
      <c r="N536" s="2"/>
    </row>
    <row r="537" spans="10:14" x14ac:dyDescent="0.35">
      <c r="J537" s="2"/>
      <c r="K537" s="2"/>
      <c r="L537" s="2"/>
      <c r="M537" s="2"/>
      <c r="N537" s="2"/>
    </row>
    <row r="538" spans="10:14" x14ac:dyDescent="0.35">
      <c r="J538" s="2"/>
      <c r="K538" s="2"/>
      <c r="L538" s="2"/>
      <c r="M538" s="2"/>
      <c r="N538" s="2"/>
    </row>
    <row r="539" spans="10:14" x14ac:dyDescent="0.35">
      <c r="J539" s="2"/>
      <c r="K539" s="2"/>
      <c r="L539" s="2"/>
      <c r="M539" s="2"/>
      <c r="N539" s="2"/>
    </row>
    <row r="540" spans="10:14" x14ac:dyDescent="0.35">
      <c r="J540" s="2"/>
      <c r="K540" s="2"/>
      <c r="L540" s="2"/>
      <c r="M540" s="2"/>
      <c r="N540" s="2"/>
    </row>
    <row r="541" spans="10:14" x14ac:dyDescent="0.35">
      <c r="J541" s="2"/>
      <c r="K541" s="2"/>
      <c r="L541" s="2"/>
      <c r="M541" s="2"/>
      <c r="N541" s="2"/>
    </row>
    <row r="542" spans="10:14" x14ac:dyDescent="0.35">
      <c r="J542" s="2"/>
      <c r="K542" s="2"/>
      <c r="L542" s="2"/>
      <c r="M542" s="2"/>
      <c r="N542" s="2"/>
    </row>
    <row r="543" spans="10:14" x14ac:dyDescent="0.35">
      <c r="J543" s="2"/>
      <c r="K543" s="2"/>
      <c r="L543" s="2"/>
      <c r="M543" s="2"/>
      <c r="N543" s="2"/>
    </row>
    <row r="544" spans="10:14" x14ac:dyDescent="0.35">
      <c r="J544" s="2"/>
      <c r="K544" s="2"/>
      <c r="L544" s="2"/>
      <c r="M544" s="2"/>
      <c r="N544" s="2"/>
    </row>
    <row r="545" spans="10:14" x14ac:dyDescent="0.35">
      <c r="J545" s="2"/>
      <c r="K545" s="2"/>
      <c r="L545" s="2"/>
      <c r="M545" s="2"/>
      <c r="N545" s="2"/>
    </row>
    <row r="546" spans="10:14" x14ac:dyDescent="0.35">
      <c r="J546" s="2"/>
      <c r="K546" s="2"/>
      <c r="L546" s="2"/>
      <c r="M546" s="2"/>
      <c r="N546" s="2"/>
    </row>
    <row r="547" spans="10:14" x14ac:dyDescent="0.35">
      <c r="J547" s="2"/>
      <c r="K547" s="2"/>
      <c r="L547" s="2"/>
      <c r="M547" s="2"/>
      <c r="N547" s="2"/>
    </row>
    <row r="548" spans="10:14" x14ac:dyDescent="0.35">
      <c r="J548" s="2"/>
      <c r="K548" s="2"/>
      <c r="L548" s="2"/>
      <c r="M548" s="2"/>
      <c r="N548" s="2"/>
    </row>
    <row r="549" spans="10:14" x14ac:dyDescent="0.35">
      <c r="J549" s="2"/>
      <c r="K549" s="2"/>
      <c r="L549" s="2"/>
      <c r="M549" s="2"/>
      <c r="N549" s="2"/>
    </row>
    <row r="550" spans="10:14" x14ac:dyDescent="0.35">
      <c r="J550" s="2"/>
      <c r="K550" s="2"/>
      <c r="L550" s="2"/>
      <c r="M550" s="2"/>
      <c r="N550" s="2"/>
    </row>
    <row r="551" spans="10:14" x14ac:dyDescent="0.35">
      <c r="J551" s="2"/>
      <c r="K551" s="2"/>
      <c r="L551" s="2"/>
      <c r="M551" s="2"/>
      <c r="N551" s="2"/>
    </row>
    <row r="552" spans="10:14" x14ac:dyDescent="0.35">
      <c r="J552" s="2"/>
      <c r="K552" s="2"/>
      <c r="L552" s="2"/>
      <c r="M552" s="2"/>
      <c r="N552" s="2"/>
    </row>
    <row r="553" spans="10:14" x14ac:dyDescent="0.35">
      <c r="J553" s="2"/>
      <c r="K553" s="2"/>
      <c r="L553" s="2"/>
      <c r="M553" s="2"/>
      <c r="N553" s="2"/>
    </row>
    <row r="554" spans="10:14" x14ac:dyDescent="0.35">
      <c r="J554" s="2"/>
      <c r="K554" s="2"/>
      <c r="L554" s="2"/>
      <c r="M554" s="2"/>
      <c r="N554" s="2"/>
    </row>
    <row r="555" spans="10:14" x14ac:dyDescent="0.35">
      <c r="J555" s="2"/>
      <c r="K555" s="2"/>
      <c r="L555" s="2"/>
      <c r="M555" s="2"/>
      <c r="N555" s="2"/>
    </row>
    <row r="556" spans="10:14" x14ac:dyDescent="0.35">
      <c r="J556" s="2"/>
      <c r="K556" s="2"/>
      <c r="L556" s="2"/>
      <c r="M556" s="2"/>
      <c r="N556" s="2"/>
    </row>
    <row r="557" spans="10:14" x14ac:dyDescent="0.35">
      <c r="J557" s="2"/>
      <c r="K557" s="2"/>
      <c r="L557" s="2"/>
      <c r="M557" s="2"/>
      <c r="N557" s="2"/>
    </row>
    <row r="558" spans="10:14" x14ac:dyDescent="0.35">
      <c r="J558" s="2"/>
      <c r="K558" s="2"/>
      <c r="L558" s="2"/>
      <c r="M558" s="2"/>
      <c r="N558" s="2"/>
    </row>
    <row r="559" spans="10:14" x14ac:dyDescent="0.35">
      <c r="J559" s="2"/>
      <c r="K559" s="2"/>
      <c r="L559" s="2"/>
      <c r="M559" s="2"/>
      <c r="N559" s="2"/>
    </row>
    <row r="560" spans="10:14" x14ac:dyDescent="0.35">
      <c r="J560" s="2"/>
      <c r="K560" s="2"/>
      <c r="L560" s="2"/>
      <c r="M560" s="2"/>
      <c r="N560" s="2"/>
    </row>
    <row r="561" spans="10:14" x14ac:dyDescent="0.35">
      <c r="J561" s="2"/>
      <c r="K561" s="2"/>
      <c r="L561" s="2"/>
      <c r="M561" s="2"/>
      <c r="N561" s="2"/>
    </row>
    <row r="562" spans="10:14" x14ac:dyDescent="0.35">
      <c r="J562" s="2"/>
      <c r="K562" s="2"/>
      <c r="L562" s="2"/>
      <c r="M562" s="2"/>
      <c r="N562" s="2"/>
    </row>
    <row r="563" spans="10:14" x14ac:dyDescent="0.35">
      <c r="J563" s="2"/>
      <c r="K563" s="2"/>
      <c r="L563" s="2"/>
      <c r="M563" s="2"/>
      <c r="N563" s="2"/>
    </row>
    <row r="564" spans="10:14" x14ac:dyDescent="0.35">
      <c r="J564" s="2"/>
      <c r="K564" s="2"/>
      <c r="L564" s="2"/>
      <c r="M564" s="2"/>
      <c r="N564" s="2"/>
    </row>
    <row r="565" spans="10:14" x14ac:dyDescent="0.35">
      <c r="J565" s="2"/>
      <c r="K565" s="2"/>
      <c r="L565" s="2"/>
      <c r="M565" s="2"/>
      <c r="N565" s="2"/>
    </row>
    <row r="566" spans="10:14" x14ac:dyDescent="0.35">
      <c r="J566" s="2"/>
      <c r="K566" s="2"/>
      <c r="L566" s="2"/>
      <c r="M566" s="2"/>
      <c r="N566" s="2"/>
    </row>
    <row r="567" spans="10:14" x14ac:dyDescent="0.35">
      <c r="J567" s="2"/>
      <c r="K567" s="2"/>
      <c r="L567" s="2"/>
      <c r="M567" s="2"/>
      <c r="N567" s="2"/>
    </row>
    <row r="568" spans="10:14" x14ac:dyDescent="0.35">
      <c r="J568" s="2"/>
      <c r="K568" s="2"/>
      <c r="L568" s="2"/>
      <c r="M568" s="2"/>
      <c r="N568" s="2"/>
    </row>
    <row r="569" spans="10:14" x14ac:dyDescent="0.35">
      <c r="J569" s="2"/>
      <c r="K569" s="2"/>
      <c r="L569" s="2"/>
      <c r="M569" s="2"/>
      <c r="N569" s="2"/>
    </row>
    <row r="570" spans="10:14" x14ac:dyDescent="0.35">
      <c r="J570" s="2"/>
      <c r="K570" s="2"/>
      <c r="L570" s="2"/>
      <c r="M570" s="2"/>
      <c r="N570" s="2"/>
    </row>
    <row r="571" spans="10:14" x14ac:dyDescent="0.35">
      <c r="J571" s="2"/>
      <c r="K571" s="2"/>
      <c r="L571" s="2"/>
      <c r="M571" s="2"/>
      <c r="N571" s="2"/>
    </row>
    <row r="572" spans="10:14" x14ac:dyDescent="0.35">
      <c r="J572" s="2"/>
      <c r="K572" s="2"/>
      <c r="L572" s="2"/>
      <c r="M572" s="2"/>
      <c r="N572" s="2"/>
    </row>
    <row r="573" spans="10:14" x14ac:dyDescent="0.35">
      <c r="J573" s="2"/>
      <c r="K573" s="2"/>
      <c r="L573" s="2"/>
      <c r="M573" s="2"/>
      <c r="N573" s="2"/>
    </row>
    <row r="574" spans="10:14" x14ac:dyDescent="0.35">
      <c r="J574" s="2"/>
      <c r="K574" s="2"/>
      <c r="L574" s="2"/>
      <c r="M574" s="2"/>
      <c r="N574" s="2"/>
    </row>
    <row r="575" spans="10:14" x14ac:dyDescent="0.35">
      <c r="J575" s="2"/>
      <c r="K575" s="2"/>
      <c r="L575" s="2"/>
      <c r="M575" s="2"/>
      <c r="N575" s="2"/>
    </row>
    <row r="576" spans="10:14" x14ac:dyDescent="0.35">
      <c r="J576" s="2"/>
      <c r="K576" s="2"/>
      <c r="L576" s="2"/>
      <c r="M576" s="2"/>
      <c r="N576" s="2"/>
    </row>
    <row r="577" spans="10:14" x14ac:dyDescent="0.35">
      <c r="J577" s="2"/>
      <c r="K577" s="2"/>
      <c r="L577" s="2"/>
      <c r="M577" s="2"/>
      <c r="N577" s="2"/>
    </row>
    <row r="578" spans="10:14" x14ac:dyDescent="0.35">
      <c r="J578" s="2"/>
      <c r="K578" s="2"/>
      <c r="L578" s="2"/>
      <c r="M578" s="2"/>
      <c r="N578" s="2"/>
    </row>
    <row r="579" spans="10:14" x14ac:dyDescent="0.35">
      <c r="J579" s="2"/>
      <c r="K579" s="2"/>
      <c r="L579" s="2"/>
      <c r="M579" s="2"/>
      <c r="N579" s="2"/>
    </row>
    <row r="580" spans="10:14" x14ac:dyDescent="0.35">
      <c r="J580" s="2"/>
      <c r="K580" s="2"/>
      <c r="L580" s="2"/>
      <c r="M580" s="2"/>
      <c r="N580" s="2"/>
    </row>
    <row r="581" spans="10:14" x14ac:dyDescent="0.35">
      <c r="J581" s="2"/>
      <c r="K581" s="2"/>
      <c r="L581" s="2"/>
      <c r="M581" s="2"/>
      <c r="N581" s="2"/>
    </row>
    <row r="582" spans="10:14" x14ac:dyDescent="0.35">
      <c r="J582" s="2"/>
      <c r="K582" s="2"/>
      <c r="L582" s="2"/>
      <c r="M582" s="2"/>
      <c r="N582" s="2"/>
    </row>
    <row r="583" spans="10:14" x14ac:dyDescent="0.35">
      <c r="J583" s="2"/>
      <c r="K583" s="2"/>
      <c r="L583" s="2"/>
      <c r="M583" s="2"/>
      <c r="N583" s="2"/>
    </row>
    <row r="584" spans="10:14" x14ac:dyDescent="0.35">
      <c r="J584" s="2"/>
      <c r="K584" s="2"/>
      <c r="L584" s="2"/>
      <c r="M584" s="2"/>
      <c r="N584" s="2"/>
    </row>
    <row r="585" spans="10:14" x14ac:dyDescent="0.35">
      <c r="J585" s="2"/>
      <c r="K585" s="2"/>
      <c r="L585" s="2"/>
      <c r="M585" s="2"/>
      <c r="N585" s="2"/>
    </row>
    <row r="586" spans="10:14" x14ac:dyDescent="0.35">
      <c r="J586" s="2"/>
      <c r="K586" s="2"/>
      <c r="L586" s="2"/>
      <c r="M586" s="2"/>
      <c r="N586" s="2"/>
    </row>
    <row r="587" spans="10:14" x14ac:dyDescent="0.35">
      <c r="J587" s="2"/>
      <c r="K587" s="2"/>
      <c r="L587" s="2"/>
      <c r="M587" s="2"/>
      <c r="N587" s="2"/>
    </row>
  </sheetData>
  <mergeCells count="1061">
    <mergeCell ref="BX113:BX123"/>
    <mergeCell ref="BY113:BY123"/>
    <mergeCell ref="BZ113:BZ123"/>
    <mergeCell ref="CA113:CA123"/>
    <mergeCell ref="CB113:CB123"/>
    <mergeCell ref="CC113:CC123"/>
    <mergeCell ref="CD113:CD123"/>
    <mergeCell ref="CE113:CE123"/>
    <mergeCell ref="AY74:AY75"/>
    <mergeCell ref="AY76:AY78"/>
    <mergeCell ref="AY79:AY84"/>
    <mergeCell ref="BX102:BX103"/>
    <mergeCell ref="BY102:BY103"/>
    <mergeCell ref="BZ102:BZ103"/>
    <mergeCell ref="CA102:CA112"/>
    <mergeCell ref="CB102:CB112"/>
    <mergeCell ref="CC102:CC103"/>
    <mergeCell ref="CD102:CD103"/>
    <mergeCell ref="CE102:CE103"/>
    <mergeCell ref="BX104:BX110"/>
    <mergeCell ref="BY104:BY110"/>
    <mergeCell ref="BZ104:BZ110"/>
    <mergeCell ref="CC104:CC110"/>
    <mergeCell ref="CD104:CD110"/>
    <mergeCell ref="CE104:CE110"/>
    <mergeCell ref="BX111:BX112"/>
    <mergeCell ref="BY111:BY112"/>
    <mergeCell ref="BZ111:BZ112"/>
    <mergeCell ref="CC111:CC112"/>
    <mergeCell ref="CD111:CD112"/>
    <mergeCell ref="CE111:CE112"/>
    <mergeCell ref="BX85:BX92"/>
    <mergeCell ref="BY85:BY92"/>
    <mergeCell ref="BZ85:BZ92"/>
    <mergeCell ref="CA85:CA101"/>
    <mergeCell ref="CB85:CB101"/>
    <mergeCell ref="CC85:CC92"/>
    <mergeCell ref="CD85:CD92"/>
    <mergeCell ref="CE33:CE55"/>
    <mergeCell ref="BX56:BX75"/>
    <mergeCell ref="BY56:BY75"/>
    <mergeCell ref="BZ56:BZ75"/>
    <mergeCell ref="CC56:CC75"/>
    <mergeCell ref="CD56:CD75"/>
    <mergeCell ref="CE56:CE75"/>
    <mergeCell ref="BX76:BX84"/>
    <mergeCell ref="BY76:BY84"/>
    <mergeCell ref="BZ76:BZ84"/>
    <mergeCell ref="CA76:CA84"/>
    <mergeCell ref="CB76:CB84"/>
    <mergeCell ref="CC76:CC84"/>
    <mergeCell ref="CD76:CD84"/>
    <mergeCell ref="CE76:CE84"/>
    <mergeCell ref="CE85:CE92"/>
    <mergeCell ref="BX93:BX101"/>
    <mergeCell ref="BY93:BY101"/>
    <mergeCell ref="BZ93:BZ101"/>
    <mergeCell ref="CC93:CC101"/>
    <mergeCell ref="CD93:CD101"/>
    <mergeCell ref="CE93:CE101"/>
    <mergeCell ref="CC33:CC55"/>
    <mergeCell ref="CD33:CD55"/>
    <mergeCell ref="CE13:CE23"/>
    <mergeCell ref="BX24:BX32"/>
    <mergeCell ref="BY24:BY32"/>
    <mergeCell ref="BZ24:BZ32"/>
    <mergeCell ref="CA24:CA32"/>
    <mergeCell ref="CB24:CB32"/>
    <mergeCell ref="CC24:CC32"/>
    <mergeCell ref="CD24:CD32"/>
    <mergeCell ref="CE24:CE32"/>
    <mergeCell ref="BX13:BX23"/>
    <mergeCell ref="BY13:BY23"/>
    <mergeCell ref="BZ13:BZ23"/>
    <mergeCell ref="CA13:CA23"/>
    <mergeCell ref="CB13:CB23"/>
    <mergeCell ref="CC13:CC23"/>
    <mergeCell ref="CD13:CD23"/>
    <mergeCell ref="AM13:AM23"/>
    <mergeCell ref="AM24:AM32"/>
    <mergeCell ref="BT13:BT23"/>
    <mergeCell ref="BI13:BK23"/>
    <mergeCell ref="BL13:BL23"/>
    <mergeCell ref="BM13:BM23"/>
    <mergeCell ref="BN13:BN23"/>
    <mergeCell ref="AN13:AN23"/>
    <mergeCell ref="AO13:AO22"/>
    <mergeCell ref="AP13:AP22"/>
    <mergeCell ref="AQ13:AQ23"/>
    <mergeCell ref="AR13:AR23"/>
    <mergeCell ref="AR24:AR32"/>
    <mergeCell ref="AN28:AN32"/>
    <mergeCell ref="AO28:AO32"/>
    <mergeCell ref="AP28:AP32"/>
    <mergeCell ref="AD79:AD84"/>
    <mergeCell ref="AC74:AC75"/>
    <mergeCell ref="AE85:AE101"/>
    <mergeCell ref="AC93:AC95"/>
    <mergeCell ref="AD93:AD98"/>
    <mergeCell ref="AC99:AC101"/>
    <mergeCell ref="AD99:AD101"/>
    <mergeCell ref="AI28:AI32"/>
    <mergeCell ref="AI93:AI98"/>
    <mergeCell ref="AL24:AL32"/>
    <mergeCell ref="BX33:BX55"/>
    <mergeCell ref="BY33:BY55"/>
    <mergeCell ref="BZ33:BZ55"/>
    <mergeCell ref="CA33:CA75"/>
    <mergeCell ref="CB33:CB75"/>
    <mergeCell ref="BW13:BW23"/>
    <mergeCell ref="BU24:BU32"/>
    <mergeCell ref="BV24:BV32"/>
    <mergeCell ref="BW24:BW32"/>
    <mergeCell ref="BU33:BU55"/>
    <mergeCell ref="BV33:BV55"/>
    <mergeCell ref="BW33:BW55"/>
    <mergeCell ref="BL56:BL75"/>
    <mergeCell ref="BM56:BM75"/>
    <mergeCell ref="BM33:BM55"/>
    <mergeCell ref="BN33:BN55"/>
    <mergeCell ref="BW56:BW75"/>
    <mergeCell ref="BU13:BU23"/>
    <mergeCell ref="BV13:BV23"/>
    <mergeCell ref="BD13:BD23"/>
    <mergeCell ref="BD43:BD47"/>
    <mergeCell ref="BD49:BD53"/>
    <mergeCell ref="AF113:AF120"/>
    <mergeCell ref="AF56:AF60"/>
    <mergeCell ref="AF61:AF65"/>
    <mergeCell ref="AF66:AF70"/>
    <mergeCell ref="AF71:AF73"/>
    <mergeCell ref="AF74:AF75"/>
    <mergeCell ref="AF76:AF78"/>
    <mergeCell ref="AF79:AF84"/>
    <mergeCell ref="AG76:AG84"/>
    <mergeCell ref="AF13:AF22"/>
    <mergeCell ref="AG13:AG23"/>
    <mergeCell ref="AI79:AI84"/>
    <mergeCell ref="AI99:AI101"/>
    <mergeCell ref="AI76:AI78"/>
    <mergeCell ref="AI13:AI23"/>
    <mergeCell ref="AI24:AI27"/>
    <mergeCell ref="AI56:AI75"/>
    <mergeCell ref="AI33:AI55"/>
    <mergeCell ref="AG102:AG112"/>
    <mergeCell ref="AG113:AG123"/>
    <mergeCell ref="AH13:AH123"/>
    <mergeCell ref="AG33:AG75"/>
    <mergeCell ref="AG85:AG101"/>
    <mergeCell ref="AF93:AF95"/>
    <mergeCell ref="AF99:AF101"/>
    <mergeCell ref="AF102:AF103"/>
    <mergeCell ref="AF106:AF110"/>
    <mergeCell ref="AF111:AF112"/>
    <mergeCell ref="AC13:AC23"/>
    <mergeCell ref="AD13:AD23"/>
    <mergeCell ref="AE13:AE23"/>
    <mergeCell ref="AC24:AC27"/>
    <mergeCell ref="AD24:AD32"/>
    <mergeCell ref="AE24:AE32"/>
    <mergeCell ref="AC28:AC32"/>
    <mergeCell ref="AC33:AC36"/>
    <mergeCell ref="AD33:AD55"/>
    <mergeCell ref="AE33:AE75"/>
    <mergeCell ref="AC37:AC42"/>
    <mergeCell ref="AC43:AC47"/>
    <mergeCell ref="AC49:AC53"/>
    <mergeCell ref="AC56:AC60"/>
    <mergeCell ref="AF33:AF36"/>
    <mergeCell ref="AF37:AF42"/>
    <mergeCell ref="AC76:AC78"/>
    <mergeCell ref="AD76:AD78"/>
    <mergeCell ref="AE76:AE84"/>
    <mergeCell ref="AC79:AC84"/>
    <mergeCell ref="AD56:AD75"/>
    <mergeCell ref="AC61:AC64"/>
    <mergeCell ref="BU113:BU123"/>
    <mergeCell ref="BV113:BV123"/>
    <mergeCell ref="BW113:BW123"/>
    <mergeCell ref="BU93:BU101"/>
    <mergeCell ref="BV93:BV101"/>
    <mergeCell ref="BW93:BW101"/>
    <mergeCell ref="BU102:BU103"/>
    <mergeCell ref="BV102:BV103"/>
    <mergeCell ref="BW102:BW103"/>
    <mergeCell ref="BU104:BU110"/>
    <mergeCell ref="BV104:BV110"/>
    <mergeCell ref="BW104:BW110"/>
    <mergeCell ref="BU111:BU112"/>
    <mergeCell ref="BV111:BV112"/>
    <mergeCell ref="BT113:BT123"/>
    <mergeCell ref="BR102:BR112"/>
    <mergeCell ref="BS102:BS112"/>
    <mergeCell ref="BR113:BR123"/>
    <mergeCell ref="BS113:BS123"/>
    <mergeCell ref="BT102:BT112"/>
    <mergeCell ref="BW76:BW84"/>
    <mergeCell ref="BU85:BU92"/>
    <mergeCell ref="BV85:BV92"/>
    <mergeCell ref="BW85:BW92"/>
    <mergeCell ref="BT85:BT101"/>
    <mergeCell ref="BN85:BN92"/>
    <mergeCell ref="BN93:BN101"/>
    <mergeCell ref="BD93:BD95"/>
    <mergeCell ref="BW111:BW112"/>
    <mergeCell ref="BD106:BD110"/>
    <mergeCell ref="BD111:BD112"/>
    <mergeCell ref="BG76:BG84"/>
    <mergeCell ref="BH76:BH78"/>
    <mergeCell ref="BH79:BH84"/>
    <mergeCell ref="BI83:BK84"/>
    <mergeCell ref="BD76:BD78"/>
    <mergeCell ref="BD79:BD84"/>
    <mergeCell ref="BH86:BH92"/>
    <mergeCell ref="BG85:BG92"/>
    <mergeCell ref="BO102:BO103"/>
    <mergeCell ref="BO104:BO110"/>
    <mergeCell ref="BO111:BO112"/>
    <mergeCell ref="BQ111:BQ112"/>
    <mergeCell ref="BE79:BE84"/>
    <mergeCell ref="BL76:BL84"/>
    <mergeCell ref="BU76:BU84"/>
    <mergeCell ref="BV76:BV84"/>
    <mergeCell ref="BR85:BR101"/>
    <mergeCell ref="BS85:BS101"/>
    <mergeCell ref="BE111:BE112"/>
    <mergeCell ref="BF111:BF112"/>
    <mergeCell ref="BU56:BU75"/>
    <mergeCell ref="BV56:BV75"/>
    <mergeCell ref="BH38:BH42"/>
    <mergeCell ref="BI76:BK78"/>
    <mergeCell ref="BH24:BH32"/>
    <mergeCell ref="BI24:BK32"/>
    <mergeCell ref="AJ24:AJ27"/>
    <mergeCell ref="AK24:AK27"/>
    <mergeCell ref="AJ76:AJ78"/>
    <mergeCell ref="AJ33:AJ36"/>
    <mergeCell ref="AJ37:AJ42"/>
    <mergeCell ref="AJ43:AJ47"/>
    <mergeCell ref="BS76:BS84"/>
    <mergeCell ref="AM76:AM84"/>
    <mergeCell ref="BT24:BT32"/>
    <mergeCell ref="BT33:BT75"/>
    <mergeCell ref="BT76:BT84"/>
    <mergeCell ref="AJ28:AJ32"/>
    <mergeCell ref="AK28:AK32"/>
    <mergeCell ref="BD24:BD32"/>
    <mergeCell ref="BM24:BM32"/>
    <mergeCell ref="BN24:BN32"/>
    <mergeCell ref="AJ79:AJ84"/>
    <mergeCell ref="AN24:AN27"/>
    <mergeCell ref="AO24:AO27"/>
    <mergeCell ref="AP24:AP27"/>
    <mergeCell ref="AQ24:AQ32"/>
    <mergeCell ref="BD56:BD60"/>
    <mergeCell ref="BD61:BD64"/>
    <mergeCell ref="BD65:BD69"/>
    <mergeCell ref="BL24:BL32"/>
    <mergeCell ref="BI66:BK70"/>
    <mergeCell ref="AB93:AB95"/>
    <mergeCell ref="AA99:AA101"/>
    <mergeCell ref="AB99:AB101"/>
    <mergeCell ref="AA102:AA103"/>
    <mergeCell ref="AB102:AB103"/>
    <mergeCell ref="BL85:BL92"/>
    <mergeCell ref="BM85:BM92"/>
    <mergeCell ref="BD99:BD101"/>
    <mergeCell ref="BD102:BD103"/>
    <mergeCell ref="BC93:BC95"/>
    <mergeCell ref="BC99:BC101"/>
    <mergeCell ref="BI96:BK98"/>
    <mergeCell ref="BL93:BL101"/>
    <mergeCell ref="BM93:BM101"/>
    <mergeCell ref="AC102:AC103"/>
    <mergeCell ref="AD102:AD110"/>
    <mergeCell ref="AC106:AC110"/>
    <mergeCell ref="AD85:AD92"/>
    <mergeCell ref="BI109:BK110"/>
    <mergeCell ref="AR85:AR101"/>
    <mergeCell ref="AA85:AA92"/>
    <mergeCell ref="BE93:BE95"/>
    <mergeCell ref="BE99:BE101"/>
    <mergeCell ref="BE102:BE103"/>
    <mergeCell ref="AA93:AA98"/>
    <mergeCell ref="AJ93:AJ95"/>
    <mergeCell ref="AJ99:AJ101"/>
    <mergeCell ref="AM85:AM101"/>
    <mergeCell ref="AJ102:AJ103"/>
    <mergeCell ref="AL102:AL103"/>
    <mergeCell ref="AM102:AM112"/>
    <mergeCell ref="AI85:AI92"/>
    <mergeCell ref="AA13:AA23"/>
    <mergeCell ref="AB13:AB22"/>
    <mergeCell ref="AA24:AA27"/>
    <mergeCell ref="AB24:AB27"/>
    <mergeCell ref="AA28:AA32"/>
    <mergeCell ref="AB28:AB32"/>
    <mergeCell ref="AA33:AA55"/>
    <mergeCell ref="AB33:AB36"/>
    <mergeCell ref="AB37:AB42"/>
    <mergeCell ref="AB43:AB47"/>
    <mergeCell ref="AB49:AB53"/>
    <mergeCell ref="AB61:AB64"/>
    <mergeCell ref="AB65:AB69"/>
    <mergeCell ref="AB70:AB73"/>
    <mergeCell ref="AB74:AB75"/>
    <mergeCell ref="AA76:AA78"/>
    <mergeCell ref="AB76:AB78"/>
    <mergeCell ref="AA79:AA84"/>
    <mergeCell ref="AB79:AB84"/>
    <mergeCell ref="BI79:BK82"/>
    <mergeCell ref="BR13:BR23"/>
    <mergeCell ref="BS13:BS23"/>
    <mergeCell ref="BR24:BR32"/>
    <mergeCell ref="BS24:BS32"/>
    <mergeCell ref="BR33:BR75"/>
    <mergeCell ref="BS33:BS75"/>
    <mergeCell ref="BR76:BR84"/>
    <mergeCell ref="Y76:Y84"/>
    <mergeCell ref="Y85:Y101"/>
    <mergeCell ref="Y102:Y112"/>
    <mergeCell ref="Y113:Y123"/>
    <mergeCell ref="Z13:Z123"/>
    <mergeCell ref="X76:X78"/>
    <mergeCell ref="X79:X84"/>
    <mergeCell ref="X93:X95"/>
    <mergeCell ref="X99:X101"/>
    <mergeCell ref="X102:X103"/>
    <mergeCell ref="X106:X110"/>
    <mergeCell ref="X111:X112"/>
    <mergeCell ref="X113:X120"/>
    <mergeCell ref="X121:X122"/>
    <mergeCell ref="X13:X22"/>
    <mergeCell ref="Y13:Y23"/>
    <mergeCell ref="X24:X27"/>
    <mergeCell ref="X28:X32"/>
    <mergeCell ref="X33:X36"/>
    <mergeCell ref="BM113:BM123"/>
    <mergeCell ref="BN113:BN123"/>
    <mergeCell ref="BL33:BL55"/>
    <mergeCell ref="S121:S122"/>
    <mergeCell ref="T121:T122"/>
    <mergeCell ref="S113:S120"/>
    <mergeCell ref="T113:T120"/>
    <mergeCell ref="U121:U122"/>
    <mergeCell ref="T106:T110"/>
    <mergeCell ref="U111:U112"/>
    <mergeCell ref="V111:V112"/>
    <mergeCell ref="BH111:BH112"/>
    <mergeCell ref="BI111:BK112"/>
    <mergeCell ref="BL111:BL112"/>
    <mergeCell ref="BM111:BM112"/>
    <mergeCell ref="BN111:BN112"/>
    <mergeCell ref="R111:R112"/>
    <mergeCell ref="BC111:BC112"/>
    <mergeCell ref="AC121:AC122"/>
    <mergeCell ref="AD121:AD122"/>
    <mergeCell ref="AC113:AC120"/>
    <mergeCell ref="BM104:BM110"/>
    <mergeCell ref="BN104:BN110"/>
    <mergeCell ref="BI106:BK108"/>
    <mergeCell ref="AA106:AA110"/>
    <mergeCell ref="AB106:AB110"/>
    <mergeCell ref="AA111:AA112"/>
    <mergeCell ref="AB111:AB112"/>
    <mergeCell ref="AC111:AC112"/>
    <mergeCell ref="AD111:AD112"/>
    <mergeCell ref="AE102:AE112"/>
    <mergeCell ref="AN111:AN112"/>
    <mergeCell ref="AO111:AO112"/>
    <mergeCell ref="AI102:AI103"/>
    <mergeCell ref="AF121:AF122"/>
    <mergeCell ref="O124:O125"/>
    <mergeCell ref="BL113:BL123"/>
    <mergeCell ref="O121:O122"/>
    <mergeCell ref="P121:P122"/>
    <mergeCell ref="Q113:Q120"/>
    <mergeCell ref="R113:R120"/>
    <mergeCell ref="BC113:BC120"/>
    <mergeCell ref="BG113:BG123"/>
    <mergeCell ref="BH113:BH120"/>
    <mergeCell ref="BI113:BK120"/>
    <mergeCell ref="Q121:Q123"/>
    <mergeCell ref="R121:R122"/>
    <mergeCell ref="BC121:BC123"/>
    <mergeCell ref="BH121:BH123"/>
    <mergeCell ref="U114:U120"/>
    <mergeCell ref="BI121:BK123"/>
    <mergeCell ref="AA113:AA120"/>
    <mergeCell ref="AB113:AB120"/>
    <mergeCell ref="AA121:AA122"/>
    <mergeCell ref="AB121:AB122"/>
    <mergeCell ref="BD113:BD120"/>
    <mergeCell ref="BD121:BD123"/>
    <mergeCell ref="AD113:AD120"/>
    <mergeCell ref="AE113:AE123"/>
    <mergeCell ref="AM113:AM123"/>
    <mergeCell ref="BE113:BE120"/>
    <mergeCell ref="BE121:BE123"/>
    <mergeCell ref="AV13:AV123"/>
    <mergeCell ref="AT13:AT22"/>
    <mergeCell ref="AU13:AU23"/>
    <mergeCell ref="AT24:AT27"/>
    <mergeCell ref="AT28:AT32"/>
    <mergeCell ref="J113:J120"/>
    <mergeCell ref="N111:N112"/>
    <mergeCell ref="O111:O112"/>
    <mergeCell ref="P111:P112"/>
    <mergeCell ref="Q111:Q112"/>
    <mergeCell ref="H111:H112"/>
    <mergeCell ref="I111:I112"/>
    <mergeCell ref="J111:J112"/>
    <mergeCell ref="K111:K112"/>
    <mergeCell ref="L111:L112"/>
    <mergeCell ref="M111:M112"/>
    <mergeCell ref="M113:M120"/>
    <mergeCell ref="N113:N120"/>
    <mergeCell ref="O113:O120"/>
    <mergeCell ref="P113:P120"/>
    <mergeCell ref="H121:H123"/>
    <mergeCell ref="J121:J123"/>
    <mergeCell ref="L121:L123"/>
    <mergeCell ref="M121:M123"/>
    <mergeCell ref="N121:N122"/>
    <mergeCell ref="K113:K123"/>
    <mergeCell ref="L113:L120"/>
    <mergeCell ref="P99:P101"/>
    <mergeCell ref="N93:N98"/>
    <mergeCell ref="Q99:Q101"/>
    <mergeCell ref="P93:P98"/>
    <mergeCell ref="J102:J103"/>
    <mergeCell ref="BL102:BL103"/>
    <mergeCell ref="BM102:BM103"/>
    <mergeCell ref="BN102:BN103"/>
    <mergeCell ref="Q102:Q103"/>
    <mergeCell ref="R102:R103"/>
    <mergeCell ref="BC102:BC103"/>
    <mergeCell ref="BG102:BG103"/>
    <mergeCell ref="BH102:BH103"/>
    <mergeCell ref="BI102:BK103"/>
    <mergeCell ref="K102:K103"/>
    <mergeCell ref="L102:L103"/>
    <mergeCell ref="M102:M103"/>
    <mergeCell ref="N102:N103"/>
    <mergeCell ref="O102:O103"/>
    <mergeCell ref="P102:P103"/>
    <mergeCell ref="S102:S103"/>
    <mergeCell ref="T102:T103"/>
    <mergeCell ref="U102:U103"/>
    <mergeCell ref="V102:V110"/>
    <mergeCell ref="O106:O110"/>
    <mergeCell ref="S106:S110"/>
    <mergeCell ref="BI104:BK105"/>
    <mergeCell ref="BL104:BL110"/>
    <mergeCell ref="R99:R101"/>
    <mergeCell ref="BH99:BH101"/>
    <mergeCell ref="BI99:BK101"/>
    <mergeCell ref="W85:W101"/>
    <mergeCell ref="J85:J92"/>
    <mergeCell ref="K85:K92"/>
    <mergeCell ref="L85:L92"/>
    <mergeCell ref="BI85:BK92"/>
    <mergeCell ref="O99:O101"/>
    <mergeCell ref="R93:R95"/>
    <mergeCell ref="BG93:BG101"/>
    <mergeCell ref="BH93:BH95"/>
    <mergeCell ref="BI93:BK95"/>
    <mergeCell ref="S85:S92"/>
    <mergeCell ref="S93:S98"/>
    <mergeCell ref="T93:T95"/>
    <mergeCell ref="S99:S101"/>
    <mergeCell ref="T99:T101"/>
    <mergeCell ref="U99:U101"/>
    <mergeCell ref="U93:U95"/>
    <mergeCell ref="V85:V92"/>
    <mergeCell ref="L93:L98"/>
    <mergeCell ref="M93:M98"/>
    <mergeCell ref="AQ85:AQ92"/>
    <mergeCell ref="Q93:Q95"/>
    <mergeCell ref="J93:J98"/>
    <mergeCell ref="K93:K101"/>
    <mergeCell ref="M85:M92"/>
    <mergeCell ref="N85:N92"/>
    <mergeCell ref="O85:O92"/>
    <mergeCell ref="P85:P92"/>
    <mergeCell ref="J99:J101"/>
    <mergeCell ref="L99:L101"/>
    <mergeCell ref="M99:M101"/>
    <mergeCell ref="N99:N101"/>
    <mergeCell ref="O93:O98"/>
    <mergeCell ref="P33:P55"/>
    <mergeCell ref="Q33:Q36"/>
    <mergeCell ref="R56:R60"/>
    <mergeCell ref="R61:R65"/>
    <mergeCell ref="R66:R70"/>
    <mergeCell ref="J76:J78"/>
    <mergeCell ref="K76:K84"/>
    <mergeCell ref="L76:L78"/>
    <mergeCell ref="M76:M78"/>
    <mergeCell ref="N76:N78"/>
    <mergeCell ref="O76:O78"/>
    <mergeCell ref="J79:J84"/>
    <mergeCell ref="L79:L84"/>
    <mergeCell ref="M79:M84"/>
    <mergeCell ref="N79:N84"/>
    <mergeCell ref="O79:O84"/>
    <mergeCell ref="T43:T47"/>
    <mergeCell ref="T49:T53"/>
    <mergeCell ref="T37:T42"/>
    <mergeCell ref="BD33:BD36"/>
    <mergeCell ref="BD37:BD42"/>
    <mergeCell ref="BI61:BK65"/>
    <mergeCell ref="BH43:BH47"/>
    <mergeCell ref="T33:T36"/>
    <mergeCell ref="W33:W75"/>
    <mergeCell ref="U33:U36"/>
    <mergeCell ref="U43:U47"/>
    <mergeCell ref="U49:U53"/>
    <mergeCell ref="AF43:AF47"/>
    <mergeCell ref="AF49:AF53"/>
    <mergeCell ref="X61:X65"/>
    <mergeCell ref="AA56:AA75"/>
    <mergeCell ref="AB56:AB60"/>
    <mergeCell ref="V33:V55"/>
    <mergeCell ref="V56:V75"/>
    <mergeCell ref="T65:T69"/>
    <mergeCell ref="T70:T73"/>
    <mergeCell ref="T74:T75"/>
    <mergeCell ref="BD74:BD75"/>
    <mergeCell ref="X49:X53"/>
    <mergeCell ref="AN33:AN55"/>
    <mergeCell ref="AO33:AO36"/>
    <mergeCell ref="T61:T64"/>
    <mergeCell ref="BI73:BK75"/>
    <mergeCell ref="BI56:BK60"/>
    <mergeCell ref="AC65:AC69"/>
    <mergeCell ref="BH66:BH70"/>
    <mergeCell ref="BH71:BH72"/>
    <mergeCell ref="BI71:BK72"/>
    <mergeCell ref="BH73:BH75"/>
    <mergeCell ref="Y24:Y32"/>
    <mergeCell ref="AF24:AF27"/>
    <mergeCell ref="AF28:AF32"/>
    <mergeCell ref="AC70:AC73"/>
    <mergeCell ref="BI33:BK55"/>
    <mergeCell ref="BC43:BC47"/>
    <mergeCell ref="BC49:BC53"/>
    <mergeCell ref="BC56:BC60"/>
    <mergeCell ref="BC61:BC64"/>
    <mergeCell ref="AR33:AR75"/>
    <mergeCell ref="AQ56:AQ75"/>
    <mergeCell ref="AO61:AO65"/>
    <mergeCell ref="AP61:AP65"/>
    <mergeCell ref="AP66:AP69"/>
    <mergeCell ref="AO70:AO73"/>
    <mergeCell ref="AP70:AP73"/>
    <mergeCell ref="X56:X60"/>
    <mergeCell ref="AQ33:AQ55"/>
    <mergeCell ref="AO37:AO42"/>
    <mergeCell ref="Y33:Y75"/>
    <mergeCell ref="X66:X70"/>
    <mergeCell ref="X71:X73"/>
    <mergeCell ref="X74:X75"/>
    <mergeCell ref="AJ74:AJ75"/>
    <mergeCell ref="AM33:AM75"/>
    <mergeCell ref="AK61:AK65"/>
    <mergeCell ref="AK66:AK69"/>
    <mergeCell ref="AK56:AK60"/>
    <mergeCell ref="AK70:AK73"/>
    <mergeCell ref="AP37:AP42"/>
    <mergeCell ref="BG24:BG32"/>
    <mergeCell ref="AG24:AG32"/>
    <mergeCell ref="BH49:BH53"/>
    <mergeCell ref="BD70:BD73"/>
    <mergeCell ref="L56:L75"/>
    <mergeCell ref="M56:M75"/>
    <mergeCell ref="N56:N75"/>
    <mergeCell ref="O56:O75"/>
    <mergeCell ref="P56:P75"/>
    <mergeCell ref="Q56:Q60"/>
    <mergeCell ref="Q61:Q65"/>
    <mergeCell ref="Q66:Q70"/>
    <mergeCell ref="Q71:Q73"/>
    <mergeCell ref="R33:R36"/>
    <mergeCell ref="Q37:Q42"/>
    <mergeCell ref="R37:R42"/>
    <mergeCell ref="Q43:Q47"/>
    <mergeCell ref="R43:R47"/>
    <mergeCell ref="R48:R49"/>
    <mergeCell ref="AJ49:AJ53"/>
    <mergeCell ref="AJ56:AJ60"/>
    <mergeCell ref="AJ61:AJ65"/>
    <mergeCell ref="AJ66:AJ69"/>
    <mergeCell ref="AJ70:AJ73"/>
    <mergeCell ref="AK33:AK36"/>
    <mergeCell ref="U37:U42"/>
    <mergeCell ref="BC33:BC36"/>
    <mergeCell ref="BC37:BC42"/>
    <mergeCell ref="X37:X42"/>
    <mergeCell ref="X43:X47"/>
    <mergeCell ref="BG33:BG75"/>
    <mergeCell ref="BH33:BH37"/>
    <mergeCell ref="BH56:BH60"/>
    <mergeCell ref="BH61:BH65"/>
    <mergeCell ref="I24:I32"/>
    <mergeCell ref="J24:J27"/>
    <mergeCell ref="K24:K32"/>
    <mergeCell ref="P13:P23"/>
    <mergeCell ref="Q13:Q22"/>
    <mergeCell ref="R13:R22"/>
    <mergeCell ref="BC13:BC23"/>
    <mergeCell ref="BG13:BG23"/>
    <mergeCell ref="BH13:BH23"/>
    <mergeCell ref="J13:J23"/>
    <mergeCell ref="K13:K23"/>
    <mergeCell ref="L13:L23"/>
    <mergeCell ref="M13:M23"/>
    <mergeCell ref="N13:N23"/>
    <mergeCell ref="O13:O23"/>
    <mergeCell ref="J28:J32"/>
    <mergeCell ref="L28:L32"/>
    <mergeCell ref="M28:M32"/>
    <mergeCell ref="N28:N32"/>
    <mergeCell ref="O28:O32"/>
    <mergeCell ref="P28:P32"/>
    <mergeCell ref="R24:R27"/>
    <mergeCell ref="BC24:BC32"/>
    <mergeCell ref="T24:T27"/>
    <mergeCell ref="U24:U27"/>
    <mergeCell ref="S28:S32"/>
    <mergeCell ref="T28:T32"/>
    <mergeCell ref="U28:U32"/>
    <mergeCell ref="V24:V32"/>
    <mergeCell ref="L24:L27"/>
    <mergeCell ref="M24:M27"/>
    <mergeCell ref="N24:N27"/>
    <mergeCell ref="H28:H32"/>
    <mergeCell ref="G28:G32"/>
    <mergeCell ref="F33:F75"/>
    <mergeCell ref="G33:G55"/>
    <mergeCell ref="H33:H55"/>
    <mergeCell ref="I33:I55"/>
    <mergeCell ref="G56:G75"/>
    <mergeCell ref="H56:H75"/>
    <mergeCell ref="I56:I75"/>
    <mergeCell ref="F102:F112"/>
    <mergeCell ref="G102:G112"/>
    <mergeCell ref="H102:H103"/>
    <mergeCell ref="I102:I103"/>
    <mergeCell ref="F113:F123"/>
    <mergeCell ref="H79:H84"/>
    <mergeCell ref="F85:F101"/>
    <mergeCell ref="G85:G92"/>
    <mergeCell ref="H85:H92"/>
    <mergeCell ref="I85:I92"/>
    <mergeCell ref="G93:G98"/>
    <mergeCell ref="H93:H98"/>
    <mergeCell ref="I93:I101"/>
    <mergeCell ref="G99:G101"/>
    <mergeCell ref="H99:H101"/>
    <mergeCell ref="G113:G123"/>
    <mergeCell ref="H113:H120"/>
    <mergeCell ref="I113:I123"/>
    <mergeCell ref="H104:H105"/>
    <mergeCell ref="I104:I110"/>
    <mergeCell ref="F24:F32"/>
    <mergeCell ref="G24:G27"/>
    <mergeCell ref="H24:H27"/>
    <mergeCell ref="BG11:BG12"/>
    <mergeCell ref="BI11:BK12"/>
    <mergeCell ref="BL11:BN11"/>
    <mergeCell ref="D10:J10"/>
    <mergeCell ref="K10:R10"/>
    <mergeCell ref="D11:D12"/>
    <mergeCell ref="E11:E12"/>
    <mergeCell ref="F11:F12"/>
    <mergeCell ref="G11:G12"/>
    <mergeCell ref="H11:H12"/>
    <mergeCell ref="I11:I12"/>
    <mergeCell ref="J11:J12"/>
    <mergeCell ref="K11:K12"/>
    <mergeCell ref="D13:D123"/>
    <mergeCell ref="E13:E123"/>
    <mergeCell ref="F13:F23"/>
    <mergeCell ref="G13:G23"/>
    <mergeCell ref="H13:H23"/>
    <mergeCell ref="I13:I23"/>
    <mergeCell ref="F76:F84"/>
    <mergeCell ref="W13:W23"/>
    <mergeCell ref="V76:V78"/>
    <mergeCell ref="V79:V84"/>
    <mergeCell ref="W76:W84"/>
    <mergeCell ref="T13:T22"/>
    <mergeCell ref="S13:S23"/>
    <mergeCell ref="U13:U23"/>
    <mergeCell ref="V13:V23"/>
    <mergeCell ref="S24:S27"/>
    <mergeCell ref="G76:G84"/>
    <mergeCell ref="H76:H78"/>
    <mergeCell ref="I76:I84"/>
    <mergeCell ref="W113:W123"/>
    <mergeCell ref="W102:W112"/>
    <mergeCell ref="S33:S55"/>
    <mergeCell ref="V93:V98"/>
    <mergeCell ref="V99:V101"/>
    <mergeCell ref="T111:T112"/>
    <mergeCell ref="S111:S112"/>
    <mergeCell ref="V113:V120"/>
    <mergeCell ref="V121:V122"/>
    <mergeCell ref="U79:U84"/>
    <mergeCell ref="S56:S75"/>
    <mergeCell ref="T56:T60"/>
    <mergeCell ref="U76:U78"/>
    <mergeCell ref="U56:U60"/>
    <mergeCell ref="U61:U64"/>
    <mergeCell ref="L11:L12"/>
    <mergeCell ref="M11:M12"/>
    <mergeCell ref="N11:P11"/>
    <mergeCell ref="O24:O27"/>
    <mergeCell ref="P24:P27"/>
    <mergeCell ref="Q24:Q27"/>
    <mergeCell ref="Q28:Q32"/>
    <mergeCell ref="R28:R32"/>
    <mergeCell ref="W24:W32"/>
    <mergeCell ref="M33:M55"/>
    <mergeCell ref="Q74:Q75"/>
    <mergeCell ref="R74:R75"/>
    <mergeCell ref="S76:S78"/>
    <mergeCell ref="T76:T78"/>
    <mergeCell ref="R71:R73"/>
    <mergeCell ref="N33:N55"/>
    <mergeCell ref="O33:O55"/>
    <mergeCell ref="H106:H110"/>
    <mergeCell ref="J106:J110"/>
    <mergeCell ref="L106:L110"/>
    <mergeCell ref="M106:M110"/>
    <mergeCell ref="N106:N110"/>
    <mergeCell ref="U106:U110"/>
    <mergeCell ref="U70:U73"/>
    <mergeCell ref="U74:U75"/>
    <mergeCell ref="P76:P78"/>
    <mergeCell ref="Q76:Q78"/>
    <mergeCell ref="R76:R78"/>
    <mergeCell ref="P79:P84"/>
    <mergeCell ref="Q79:Q84"/>
    <mergeCell ref="R79:R84"/>
    <mergeCell ref="S79:S84"/>
    <mergeCell ref="T79:T84"/>
    <mergeCell ref="L33:L55"/>
    <mergeCell ref="J104:J105"/>
    <mergeCell ref="K104:K110"/>
    <mergeCell ref="L104:L105"/>
    <mergeCell ref="M104:M105"/>
    <mergeCell ref="P106:P110"/>
    <mergeCell ref="Q106:Q110"/>
    <mergeCell ref="R106:R110"/>
    <mergeCell ref="J33:J55"/>
    <mergeCell ref="K33:K55"/>
    <mergeCell ref="J56:J75"/>
    <mergeCell ref="K56:K75"/>
    <mergeCell ref="Q50:Q53"/>
    <mergeCell ref="R50:R53"/>
    <mergeCell ref="Q48:Q49"/>
    <mergeCell ref="U65:U69"/>
    <mergeCell ref="BO113:BO123"/>
    <mergeCell ref="BP13:BP23"/>
    <mergeCell ref="BP24:BP32"/>
    <mergeCell ref="BP33:BP55"/>
    <mergeCell ref="BP56:BP75"/>
    <mergeCell ref="BP76:BP84"/>
    <mergeCell ref="BP85:BP92"/>
    <mergeCell ref="BP93:BP101"/>
    <mergeCell ref="BP102:BP103"/>
    <mergeCell ref="BP104:BP110"/>
    <mergeCell ref="BP111:BP112"/>
    <mergeCell ref="BP113:BP123"/>
    <mergeCell ref="BO13:BO23"/>
    <mergeCell ref="BO24:BO32"/>
    <mergeCell ref="BO33:BO55"/>
    <mergeCell ref="BO56:BO75"/>
    <mergeCell ref="BO76:BO84"/>
    <mergeCell ref="BO85:BO92"/>
    <mergeCell ref="BO93:BO101"/>
    <mergeCell ref="AK99:AK101"/>
    <mergeCell ref="AK106:AK110"/>
    <mergeCell ref="AK111:AK112"/>
    <mergeCell ref="AK102:AK103"/>
    <mergeCell ref="AL104:AL110"/>
    <mergeCell ref="AK113:AK120"/>
    <mergeCell ref="AK121:AK122"/>
    <mergeCell ref="AL113:AL123"/>
    <mergeCell ref="AI106:AI110"/>
    <mergeCell ref="AJ106:AJ110"/>
    <mergeCell ref="AI111:AI112"/>
    <mergeCell ref="AJ111:AJ112"/>
    <mergeCell ref="AL111:AL112"/>
    <mergeCell ref="AL13:AL23"/>
    <mergeCell ref="AL33:AL55"/>
    <mergeCell ref="AL56:AL75"/>
    <mergeCell ref="AK76:AK78"/>
    <mergeCell ref="AK79:AK84"/>
    <mergeCell ref="AL76:AL84"/>
    <mergeCell ref="AL85:AL92"/>
    <mergeCell ref="AK93:AK95"/>
    <mergeCell ref="AL93:AL101"/>
    <mergeCell ref="AK37:AK42"/>
    <mergeCell ref="AK43:AK47"/>
    <mergeCell ref="AK49:AK53"/>
    <mergeCell ref="AK74:AK75"/>
    <mergeCell ref="AI113:AI120"/>
    <mergeCell ref="AJ113:AJ120"/>
    <mergeCell ref="AI121:AI122"/>
    <mergeCell ref="AJ121:AJ122"/>
    <mergeCell ref="AJ13:AJ22"/>
    <mergeCell ref="AK13:AK22"/>
    <mergeCell ref="AP33:AP36"/>
    <mergeCell ref="AN85:AN92"/>
    <mergeCell ref="AO43:AO47"/>
    <mergeCell ref="AP43:AP47"/>
    <mergeCell ref="AO49:AO53"/>
    <mergeCell ref="AP49:AP53"/>
    <mergeCell ref="AN56:AN75"/>
    <mergeCell ref="AP102:AP103"/>
    <mergeCell ref="AQ102:AQ103"/>
    <mergeCell ref="AO74:AO75"/>
    <mergeCell ref="AP74:AP75"/>
    <mergeCell ref="AN76:AN78"/>
    <mergeCell ref="AO76:AO78"/>
    <mergeCell ref="AP76:AP78"/>
    <mergeCell ref="AQ76:AQ84"/>
    <mergeCell ref="AN93:AN98"/>
    <mergeCell ref="AO93:AO95"/>
    <mergeCell ref="AP93:AP95"/>
    <mergeCell ref="AN99:AN101"/>
    <mergeCell ref="AO99:AO101"/>
    <mergeCell ref="AO56:AO60"/>
    <mergeCell ref="AP56:AP60"/>
    <mergeCell ref="AR76:AR84"/>
    <mergeCell ref="AN79:AN84"/>
    <mergeCell ref="AO79:AO84"/>
    <mergeCell ref="AP79:AP84"/>
    <mergeCell ref="AR102:AR112"/>
    <mergeCell ref="BF13:BF23"/>
    <mergeCell ref="BF24:BF32"/>
    <mergeCell ref="BF33:BF36"/>
    <mergeCell ref="BF37:BF42"/>
    <mergeCell ref="BF43:BF47"/>
    <mergeCell ref="BF49:BF53"/>
    <mergeCell ref="BF56:BF60"/>
    <mergeCell ref="BF61:BF64"/>
    <mergeCell ref="BE106:BE110"/>
    <mergeCell ref="BE13:BE23"/>
    <mergeCell ref="BE24:BE32"/>
    <mergeCell ref="BE33:BE36"/>
    <mergeCell ref="BE37:BE42"/>
    <mergeCell ref="BE43:BE47"/>
    <mergeCell ref="BE49:BE53"/>
    <mergeCell ref="BE56:BE60"/>
    <mergeCell ref="BE61:BE64"/>
    <mergeCell ref="BE65:BE69"/>
    <mergeCell ref="BF76:BF78"/>
    <mergeCell ref="BF106:BF110"/>
    <mergeCell ref="AO66:AO69"/>
    <mergeCell ref="BF74:BF75"/>
    <mergeCell ref="AP99:AP101"/>
    <mergeCell ref="BF102:BF103"/>
    <mergeCell ref="BE70:BE73"/>
    <mergeCell ref="BE74:BE75"/>
    <mergeCell ref="BE76:BE78"/>
    <mergeCell ref="AT76:AT78"/>
    <mergeCell ref="AT79:AT84"/>
    <mergeCell ref="AU76:AU84"/>
    <mergeCell ref="AT85:AT92"/>
    <mergeCell ref="AT93:AT98"/>
    <mergeCell ref="AT99:AT101"/>
    <mergeCell ref="AN113:AN120"/>
    <mergeCell ref="AO113:AO120"/>
    <mergeCell ref="AP113:AP120"/>
    <mergeCell ref="AQ113:AQ123"/>
    <mergeCell ref="AR113:AR123"/>
    <mergeCell ref="AN121:AN122"/>
    <mergeCell ref="AO121:AO122"/>
    <mergeCell ref="AP121:AP122"/>
    <mergeCell ref="AQ104:AQ110"/>
    <mergeCell ref="AN106:AN110"/>
    <mergeCell ref="AO106:AO110"/>
    <mergeCell ref="AP106:AP110"/>
    <mergeCell ref="AP111:AP112"/>
    <mergeCell ref="AQ111:AQ112"/>
    <mergeCell ref="AN102:AN103"/>
    <mergeCell ref="AO102:AO103"/>
    <mergeCell ref="AT121:AT122"/>
    <mergeCell ref="AU113:AU123"/>
    <mergeCell ref="AT102:AT103"/>
    <mergeCell ref="AT104:AT110"/>
    <mergeCell ref="AT111:AT112"/>
    <mergeCell ref="AU102:AU112"/>
    <mergeCell ref="AT113:AT120"/>
    <mergeCell ref="AQ93:AQ98"/>
    <mergeCell ref="AQ99:AQ101"/>
    <mergeCell ref="AS13:AS123"/>
    <mergeCell ref="AU24:AU32"/>
    <mergeCell ref="AT33:AT55"/>
    <mergeCell ref="AT56:AT75"/>
    <mergeCell ref="AU33:AU75"/>
    <mergeCell ref="CF56:CF75"/>
    <mergeCell ref="CG56:CG75"/>
    <mergeCell ref="CH56:CH75"/>
    <mergeCell ref="CF76:CF84"/>
    <mergeCell ref="CG76:CG84"/>
    <mergeCell ref="CH76:CH84"/>
    <mergeCell ref="CF85:CF92"/>
    <mergeCell ref="CG85:CG92"/>
    <mergeCell ref="CH85:CH92"/>
    <mergeCell ref="CF13:CF23"/>
    <mergeCell ref="CH13:CH23"/>
    <mergeCell ref="CF24:CF32"/>
    <mergeCell ref="CH24:CH32"/>
    <mergeCell ref="CF33:CF55"/>
    <mergeCell ref="CG33:CG55"/>
    <mergeCell ref="CH33:CH55"/>
    <mergeCell ref="CG13:CG23"/>
    <mergeCell ref="CG24:CG32"/>
    <mergeCell ref="AU85:AU101"/>
    <mergeCell ref="BC79:BC84"/>
    <mergeCell ref="BC76:BC78"/>
    <mergeCell ref="BC74:BC75"/>
    <mergeCell ref="BC70:BC73"/>
    <mergeCell ref="BC65:BC69"/>
    <mergeCell ref="AX33:AX36"/>
    <mergeCell ref="AX37:AX42"/>
    <mergeCell ref="AX43:AX47"/>
    <mergeCell ref="AX49:AX53"/>
    <mergeCell ref="BF113:BF120"/>
    <mergeCell ref="BF121:BF123"/>
    <mergeCell ref="CI113:CI123"/>
    <mergeCell ref="CJ113:CJ123"/>
    <mergeCell ref="CK113:CK123"/>
    <mergeCell ref="CI13:CI23"/>
    <mergeCell ref="CJ13:CJ23"/>
    <mergeCell ref="CK13:CK23"/>
    <mergeCell ref="CI24:CI32"/>
    <mergeCell ref="CJ24:CJ32"/>
    <mergeCell ref="CK24:CK32"/>
    <mergeCell ref="CI33:CI75"/>
    <mergeCell ref="CJ33:CJ75"/>
    <mergeCell ref="CK33:CK75"/>
    <mergeCell ref="CI76:CI84"/>
    <mergeCell ref="CJ76:CJ84"/>
    <mergeCell ref="CK76:CK84"/>
    <mergeCell ref="CF111:CF112"/>
    <mergeCell ref="CG111:CG112"/>
    <mergeCell ref="CH111:CH112"/>
    <mergeCell ref="CF113:CF123"/>
    <mergeCell ref="CG113:CG123"/>
    <mergeCell ref="CH113:CH123"/>
    <mergeCell ref="CF93:CF101"/>
    <mergeCell ref="CG93:CG101"/>
    <mergeCell ref="CH93:CH101"/>
    <mergeCell ref="CF102:CF103"/>
    <mergeCell ref="CG102:CG103"/>
    <mergeCell ref="BQ113:BQ123"/>
    <mergeCell ref="BQ13:BQ23"/>
    <mergeCell ref="BQ24:BQ32"/>
    <mergeCell ref="BQ33:BQ55"/>
    <mergeCell ref="AX79:AX84"/>
    <mergeCell ref="CI85:CI101"/>
    <mergeCell ref="CJ85:CJ101"/>
    <mergeCell ref="CK85:CK101"/>
    <mergeCell ref="CI102:CI112"/>
    <mergeCell ref="CJ102:CJ112"/>
    <mergeCell ref="CK102:CK112"/>
    <mergeCell ref="CH102:CH103"/>
    <mergeCell ref="CF104:CF110"/>
    <mergeCell ref="CG104:CG110"/>
    <mergeCell ref="CH104:CH110"/>
    <mergeCell ref="BF79:BF84"/>
    <mergeCell ref="BF93:BF95"/>
    <mergeCell ref="BF99:BF101"/>
    <mergeCell ref="BF70:BF73"/>
    <mergeCell ref="BF65:BF69"/>
    <mergeCell ref="BG104:BG112"/>
    <mergeCell ref="BH104:BH105"/>
    <mergeCell ref="BC106:BC110"/>
    <mergeCell ref="BH106:BH110"/>
    <mergeCell ref="AY102:AY103"/>
    <mergeCell ref="AZ102:AZ112"/>
    <mergeCell ref="AY111:AY112"/>
    <mergeCell ref="BQ56:BQ75"/>
    <mergeCell ref="BQ76:BQ84"/>
    <mergeCell ref="BQ85:BQ92"/>
    <mergeCell ref="BQ93:BQ101"/>
    <mergeCell ref="BQ102:BQ103"/>
    <mergeCell ref="BQ104:BQ110"/>
    <mergeCell ref="BM76:BM84"/>
    <mergeCell ref="BN76:BN84"/>
    <mergeCell ref="BN56:BN75"/>
    <mergeCell ref="AZ99:AZ101"/>
    <mergeCell ref="AW99:AW101"/>
    <mergeCell ref="AX99:AX101"/>
    <mergeCell ref="AX102:AX103"/>
    <mergeCell ref="AX106:AX110"/>
    <mergeCell ref="AX111:AX112"/>
    <mergeCell ref="AX113:AX120"/>
    <mergeCell ref="AX121:AX122"/>
    <mergeCell ref="AW113:AW120"/>
    <mergeCell ref="AW121:AW122"/>
    <mergeCell ref="AW111:AW112"/>
    <mergeCell ref="AW106:AW110"/>
    <mergeCell ref="AW102:AW103"/>
    <mergeCell ref="AX93:AX95"/>
    <mergeCell ref="AX13:AX22"/>
    <mergeCell ref="AW13:AW23"/>
    <mergeCell ref="AX24:AX27"/>
    <mergeCell ref="AX28:AX32"/>
    <mergeCell ref="AW24:AW27"/>
    <mergeCell ref="AW28:AW32"/>
    <mergeCell ref="AW33:AW55"/>
    <mergeCell ref="AX70:AX73"/>
    <mergeCell ref="AW56:AW75"/>
    <mergeCell ref="AW76:AW78"/>
    <mergeCell ref="AW79:AW84"/>
    <mergeCell ref="AW85:AW92"/>
    <mergeCell ref="AW93:AW98"/>
    <mergeCell ref="AX60:AX65"/>
    <mergeCell ref="AX66:AX69"/>
    <mergeCell ref="AX56:AX59"/>
    <mergeCell ref="AX74:AX75"/>
    <mergeCell ref="AX76:AX78"/>
    <mergeCell ref="BA13:BA23"/>
    <mergeCell ref="AZ85:AZ92"/>
    <mergeCell ref="AY99:AY101"/>
    <mergeCell ref="AZ93:AZ98"/>
    <mergeCell ref="AY106:AY110"/>
    <mergeCell ref="BA24:BA32"/>
    <mergeCell ref="BA33:BA75"/>
    <mergeCell ref="BA76:BA84"/>
    <mergeCell ref="BA85:BA101"/>
    <mergeCell ref="BA102:BA112"/>
    <mergeCell ref="BA113:BA123"/>
    <mergeCell ref="BB13:BB123"/>
    <mergeCell ref="AZ113:AZ123"/>
    <mergeCell ref="AZ13:AZ23"/>
    <mergeCell ref="AZ24:AZ32"/>
    <mergeCell ref="AZ76:AZ84"/>
    <mergeCell ref="AY13:AY22"/>
    <mergeCell ref="AY24:AY27"/>
    <mergeCell ref="AY28:AY32"/>
    <mergeCell ref="AY33:AY36"/>
    <mergeCell ref="AY37:AY42"/>
    <mergeCell ref="AY43:AY47"/>
    <mergeCell ref="AY49:AY53"/>
    <mergeCell ref="AY56:AY59"/>
    <mergeCell ref="AY60:AY65"/>
    <mergeCell ref="AY66:AY69"/>
    <mergeCell ref="AY70:AY73"/>
    <mergeCell ref="AZ33:AZ55"/>
    <mergeCell ref="AZ56:AZ75"/>
    <mergeCell ref="AY113:AY120"/>
    <mergeCell ref="AY121:AY122"/>
    <mergeCell ref="AY93:AY95"/>
  </mergeCells>
  <pageMargins left="0.70866141732283472" right="0.70866141732283472" top="0.74803149606299213" bottom="0.74803149606299213" header="0.31496062992125984" footer="0.31496062992125984"/>
  <pageSetup paperSize="5" scale="80" orientation="portrait"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IDER PLAN DE ACCION DICIE 2018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ACER</cp:lastModifiedBy>
  <cp:lastPrinted>2018-04-19T14:06:04Z</cp:lastPrinted>
  <dcterms:created xsi:type="dcterms:W3CDTF">2018-01-18T02:05:47Z</dcterms:created>
  <dcterms:modified xsi:type="dcterms:W3CDTF">2019-01-23T21:47:36Z</dcterms:modified>
</cp:coreProperties>
</file>